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5" windowWidth="19320" windowHeight="7995" activeTab="1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1">Φύλλο2!$A$1:$I$56</definedName>
  </definedNames>
  <calcPr calcId="124519"/>
</workbook>
</file>

<file path=xl/calcChain.xml><?xml version="1.0" encoding="utf-8"?>
<calcChain xmlns="http://schemas.openxmlformats.org/spreadsheetml/2006/main">
  <c r="K37" i="2"/>
  <c r="G15"/>
  <c r="H15" s="1"/>
  <c r="G19"/>
  <c r="G21"/>
  <c r="B43"/>
  <c r="L26"/>
  <c r="G14" l="1"/>
  <c r="F13"/>
  <c r="G13"/>
  <c r="G20"/>
  <c r="H25"/>
  <c r="F19"/>
  <c r="F22"/>
  <c r="F21"/>
  <c r="H21" s="1"/>
  <c r="G26"/>
  <c r="F14"/>
  <c r="H29"/>
  <c r="I30" s="1"/>
  <c r="H22"/>
  <c r="H16"/>
  <c r="F26"/>
  <c r="N69" i="1"/>
  <c r="N65"/>
  <c r="N63"/>
  <c r="N62"/>
  <c r="B72"/>
  <c r="D72"/>
  <c r="A72"/>
  <c r="A73"/>
  <c r="A74" s="1"/>
  <c r="M62"/>
  <c r="M64"/>
  <c r="M68"/>
  <c r="L70"/>
  <c r="L69"/>
  <c r="L68"/>
  <c r="L67"/>
  <c r="L66"/>
  <c r="L65"/>
  <c r="L64"/>
  <c r="L63"/>
  <c r="L62"/>
  <c r="H67"/>
  <c r="G67"/>
  <c r="G62"/>
  <c r="D58"/>
  <c r="D57"/>
  <c r="D56"/>
  <c r="D55"/>
  <c r="D54"/>
  <c r="D53"/>
  <c r="B61"/>
  <c r="A68"/>
  <c r="A67"/>
  <c r="B67" s="1"/>
  <c r="A66"/>
  <c r="A65"/>
  <c r="A61"/>
  <c r="A21"/>
  <c r="A20"/>
  <c r="A19"/>
  <c r="A18"/>
  <c r="A17"/>
  <c r="A16"/>
  <c r="A15"/>
  <c r="A14"/>
  <c r="B7"/>
  <c r="A7"/>
  <c r="C4"/>
  <c r="A4"/>
  <c r="H26" i="2" l="1"/>
  <c r="H14"/>
  <c r="H13"/>
  <c r="H19"/>
  <c r="H20"/>
  <c r="A75" i="1"/>
  <c r="D75" s="1"/>
  <c r="D74"/>
  <c r="I17" i="2" l="1"/>
  <c r="I23"/>
  <c r="I27"/>
  <c r="E75" i="1"/>
  <c r="N64" s="1"/>
  <c r="N66" s="1"/>
  <c r="N68" s="1"/>
  <c r="N70" s="1"/>
  <c r="O70" s="1"/>
  <c r="P70" s="1"/>
  <c r="I31" i="2" l="1"/>
  <c r="I32" s="1"/>
  <c r="I33" s="1"/>
  <c r="I34" s="1"/>
  <c r="I35" l="1"/>
  <c r="K36" s="1"/>
  <c r="I37" l="1"/>
  <c r="I38" s="1"/>
  <c r="I39" l="1"/>
</calcChain>
</file>

<file path=xl/sharedStrings.xml><?xml version="1.0" encoding="utf-8"?>
<sst xmlns="http://schemas.openxmlformats.org/spreadsheetml/2006/main" count="135" uniqueCount="106">
  <si>
    <t>εργασίες</t>
  </si>
  <si>
    <t>ΓΕ &amp; ΟΕ</t>
  </si>
  <si>
    <t>απρόβλεπτα</t>
  </si>
  <si>
    <t>σύνολο</t>
  </si>
  <si>
    <t>αναθεώρηση</t>
  </si>
  <si>
    <t>φπα</t>
  </si>
  <si>
    <t>Περιγραφή Εργασίας</t>
  </si>
  <si>
    <t>ΕΛΛΗΝΙΚΗ  ΔΗΜΟΚΡΑΤΙΑ</t>
  </si>
  <si>
    <t>ΕΡΓΟ:</t>
  </si>
  <si>
    <t>ΠΕΡΙΦΕΡΕΙΑ  ΗΠΕΙΡΟΥ</t>
  </si>
  <si>
    <t>ΠΡ/ΣΜΟΣ:</t>
  </si>
  <si>
    <t>€</t>
  </si>
  <si>
    <t xml:space="preserve"> ΠΡΟΫΠΟΛΟΓΙΣΜΟΣ </t>
  </si>
  <si>
    <t>α/α</t>
  </si>
  <si>
    <t>Ένδειξη Εργασίας</t>
  </si>
  <si>
    <t>Αριθ. Περιγρ. Τιμολ.</t>
  </si>
  <si>
    <t>Αρθρο Αναθεώρ.</t>
  </si>
  <si>
    <t>Είδος Μονάδος</t>
  </si>
  <si>
    <t>Ποσότητα</t>
  </si>
  <si>
    <t>Τιμή Μονάδος</t>
  </si>
  <si>
    <t>ΔΑΠΑΝΗ</t>
  </si>
  <si>
    <t>Μερική</t>
  </si>
  <si>
    <t>Ολική</t>
  </si>
  <si>
    <t>ΣΥΝΟΛΟ ΟΜΑΔΑΣ Α':</t>
  </si>
  <si>
    <t>ΣΥΝΟΛΟ ΟΜΑΔΑΣ Β':</t>
  </si>
  <si>
    <t>Άθροισμα Εργασιών:</t>
  </si>
  <si>
    <t>ΓΕ &amp;ΟΕ 18%</t>
  </si>
  <si>
    <t>Σύνολο</t>
  </si>
  <si>
    <t>Απρόβλεπτα 15%</t>
  </si>
  <si>
    <t>Αναθεώρηση</t>
  </si>
  <si>
    <t>ΦΠΑ 23%</t>
  </si>
  <si>
    <t>ΘΕΩΡΗΘΗΚΕ</t>
  </si>
  <si>
    <t>Ζέκκα Ελευθερία</t>
  </si>
  <si>
    <t>Πολιτικός Μηχανικός</t>
  </si>
  <si>
    <t>ΓΕΝΙΚΗ ΔΙΕΥΘΥΝΣΗ ΑΝΑΠΤΥΞΙΑΚΟΥ</t>
  </si>
  <si>
    <t>ΠΡΟΓΡΑΜΜΑΤΙΣΜΟΥ, ΠΕΡΙΒΑΛΛΟΝΤΟΣ</t>
  </si>
  <si>
    <t>ΚΑΙ ΥΠΟΔΟΜΩΝ</t>
  </si>
  <si>
    <t>Δ/ΝΣΗ ΤΕΧΝΙΚΩΝ ΕΡΓΩΝ</t>
  </si>
  <si>
    <t>(Π.Ε.) ΙΩΑΝΝΙΝΩΝ</t>
  </si>
  <si>
    <t xml:space="preserve">Βάση οδοστρωσίας μεταβλητού πάχους  </t>
  </si>
  <si>
    <t>Γ-2.1</t>
  </si>
  <si>
    <t>Ανακατασκευή στρώσεων οδοστρωσίας</t>
  </si>
  <si>
    <t>Γ-6</t>
  </si>
  <si>
    <t>ΟΔΟ 3231</t>
  </si>
  <si>
    <t>Ασφαλτική προεπάλειψη</t>
  </si>
  <si>
    <t>Δ-3</t>
  </si>
  <si>
    <t>ΟΔΟ 4110</t>
  </si>
  <si>
    <t>Η ΑΝΑΠΛ. Δ/ΝΤΡΙΑ Δ.Τ.Ε.Π.Ε.Ι.</t>
  </si>
  <si>
    <t>ΑΓΑΘΗ ΒΛΑΧΙΩΤΗ</t>
  </si>
  <si>
    <t>ΠΟΛΙΤΙΚΟΣ ΜΗΧΑΝΙΚΟΣ</t>
  </si>
  <si>
    <t>Βελτίωση - ασφαλτόστρωση τμήματος επαρχιακής οδού Ασβεστοχώρι - Μάρμαρα</t>
  </si>
  <si>
    <t>Δ-8.1</t>
  </si>
  <si>
    <t xml:space="preserve">Ασφαλτική στρώση κυκλοφορίας συμπυκνωμένου πάχους 0,05 m με χρήση κοινής ασφάλτου </t>
  </si>
  <si>
    <t>ΟΔΟ-4521Β</t>
  </si>
  <si>
    <t>ΟΜΑΔΑ Α': ΧΩΜΑΤΟΥΡΓΙΚΑ - ΚΑΘΑΡΙΣΜΟΙ</t>
  </si>
  <si>
    <t xml:space="preserve">Γενικές εκσκαφές σε έδαφος γαιώδες -ημιβραχώδες </t>
  </si>
  <si>
    <t>ΟΔΟ-1123Α</t>
  </si>
  <si>
    <r>
      <t>m</t>
    </r>
    <r>
      <rPr>
        <vertAlign val="superscript"/>
        <sz val="9"/>
        <rFont val="Arial"/>
        <family val="2"/>
        <charset val="161"/>
      </rPr>
      <t>3</t>
    </r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</si>
  <si>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</si>
  <si>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</si>
  <si>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Α-2</t>
  </si>
  <si>
    <t>Α-15</t>
  </si>
  <si>
    <t>Καθαρισμός οχετών ανοίγματος μέχρι και 3,0 m</t>
  </si>
  <si>
    <t>ΟΔΟ-1320</t>
  </si>
  <si>
    <t>m</t>
  </si>
  <si>
    <t>ΟΜΑΔΑ Β': ΟΔΟΣΤΡΩΣΙΑ</t>
  </si>
  <si>
    <t>Γ-1.2</t>
  </si>
  <si>
    <t>Υπόβαση οδοστρωσίας συμπυκωμένου πάχους 0,10 m</t>
  </si>
  <si>
    <t>ΟΔΟ-3111.Β</t>
  </si>
  <si>
    <r>
      <t>m</t>
    </r>
    <r>
      <rPr>
        <vertAlign val="superscript"/>
        <sz val="9"/>
        <rFont val="Arial"/>
        <family val="2"/>
        <charset val="161"/>
      </rPr>
      <t>2</t>
    </r>
  </si>
  <si>
    <t>ΟΔΟ-3211.Β</t>
  </si>
  <si>
    <t>Γ-2.2</t>
  </si>
  <si>
    <t>Βάση πάχους 0,10 m (Π.Τ.Π. Ο-155)</t>
  </si>
  <si>
    <t>ΟΜΑΔΑ Γ': ΑΣΦΑΛΤΙΚΑ (με την αξία της ασφάλτου)</t>
  </si>
  <si>
    <t>ΟΜΑΔΑ Δ': ΣΗΜΑΝΣΗ - ΑΣΦΑΛΙΣΗ</t>
  </si>
  <si>
    <t>Ε-16</t>
  </si>
  <si>
    <t>Αναλάμπων φανός επισήμανσης κινδύνου</t>
  </si>
  <si>
    <t>ΗΛΜ-108</t>
  </si>
  <si>
    <t>τεμ.</t>
  </si>
  <si>
    <t>ΣΥΝΟΛΟ ΟΜΑΔΑΣ Γ':</t>
  </si>
  <si>
    <t>ΣΥΝΟΛΟ ΟΜΑΔΑΣ Δ':</t>
  </si>
  <si>
    <t>=100*1*0,4</t>
  </si>
  <si>
    <t>=100*0,5*0,1</t>
  </si>
  <si>
    <t>=100*1*2</t>
  </si>
  <si>
    <t>=100*1,5*1</t>
  </si>
  <si>
    <t>=1800*4,5</t>
  </si>
  <si>
    <t>Γενικό Σύνολο</t>
  </si>
  <si>
    <t>ΣΥΝΤΑΧΘΗΚΕ</t>
  </si>
  <si>
    <t>Ιωάννινα    …...-03-2014</t>
  </si>
  <si>
    <t>ΕΛΕΓΧΘΗΚΕ</t>
  </si>
  <si>
    <t>ΒΑΣΙΛΕΙΟΣ ΟΙΚΟΝΟΜΟΥ</t>
  </si>
  <si>
    <t>Ο ΠΡΟΪΣΤΑΜΕΝΟΣ Τ.Σ.Ε.</t>
  </si>
  <si>
    <t>=(0,7+0,19*0,01;2)</t>
  </si>
  <si>
    <t>=1,6+0,19*0,1</t>
  </si>
  <si>
    <t>=11,5+0,19*5</t>
  </si>
  <si>
    <t>=7,7+(0,19+0,03)/20*10</t>
  </si>
  <si>
    <t>ΑΝΑΛΥΣΗ</t>
  </si>
  <si>
    <t>=1000*2*0,05=100 / 200</t>
  </si>
  <si>
    <t>=1,1+0,19/10*5</t>
  </si>
  <si>
    <t>=1,2+(0,19/10)*5</t>
  </si>
  <si>
    <t>Σύνολο σε Ακέραια Ευρώ Εγκ. 36/13-12-2001:</t>
  </si>
  <si>
    <t>Α-3.2</t>
  </si>
  <si>
    <t>Γενικές εκσκαφές σε έδαφος βραχώδες με ελεγχόμενη χρήση εκρηκτικών</t>
  </si>
  <si>
    <t>ΟΔΟ-1133Α</t>
  </si>
  <si>
    <t>=4,4+0,19*,01</t>
  </si>
  <si>
    <t>=100*0,5+1800*3,7=6710</t>
  </si>
</sst>
</file>

<file path=xl/styles.xml><?xml version="1.0" encoding="utf-8"?>
<styleSheet xmlns="http://schemas.openxmlformats.org/spreadsheetml/2006/main">
  <numFmts count="1">
    <numFmt numFmtId="164" formatCode="#,##0.00000000000"/>
  </numFmts>
  <fonts count="18">
    <font>
      <sz val="11"/>
      <color theme="1"/>
      <name val="Calibri"/>
      <family val="2"/>
      <charset val="161"/>
      <scheme val="minor"/>
    </font>
    <font>
      <b/>
      <sz val="10"/>
      <name val="Arial"/>
      <family val="2"/>
    </font>
    <font>
      <sz val="10"/>
      <name val="Arial"/>
      <family val="2"/>
      <charset val="161"/>
    </font>
    <font>
      <b/>
      <sz val="10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</font>
    <font>
      <b/>
      <sz val="12"/>
      <name val="Arial"/>
      <family val="2"/>
      <charset val="161"/>
    </font>
    <font>
      <sz val="14"/>
      <name val="Arial Greek"/>
      <family val="2"/>
      <charset val="161"/>
    </font>
    <font>
      <sz val="8"/>
      <name val="Arial"/>
      <family val="2"/>
      <charset val="161"/>
    </font>
    <font>
      <sz val="10"/>
      <name val="Arial Greek"/>
      <family val="2"/>
      <charset val="161"/>
    </font>
    <font>
      <sz val="9"/>
      <name val="Arial"/>
      <family val="2"/>
    </font>
    <font>
      <sz val="9"/>
      <name val="Arial Greek"/>
      <family val="2"/>
      <charset val="161"/>
    </font>
    <font>
      <sz val="9"/>
      <name val="Arial"/>
      <family val="2"/>
      <charset val="161"/>
    </font>
    <font>
      <sz val="8"/>
      <name val="Arial"/>
      <family val="2"/>
    </font>
    <font>
      <sz val="9"/>
      <name val="Times New Roman"/>
      <family val="1"/>
      <charset val="161"/>
    </font>
    <font>
      <sz val="9"/>
      <color indexed="8"/>
      <name val="Arial"/>
      <family val="2"/>
      <charset val="161"/>
    </font>
    <font>
      <vertAlign val="superscript"/>
      <sz val="9"/>
      <name val="Arial"/>
      <family val="2"/>
      <charset val="161"/>
    </font>
    <font>
      <b/>
      <sz val="9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4" fillId="0" borderId="0"/>
  </cellStyleXfs>
  <cellXfs count="100">
    <xf numFmtId="0" fontId="0" fillId="0" borderId="0" xfId="0"/>
    <xf numFmtId="4" fontId="0" fillId="0" borderId="0" xfId="0" applyNumberFormat="1"/>
    <xf numFmtId="4" fontId="0" fillId="2" borderId="0" xfId="0" applyNumberFormat="1" applyFill="1"/>
    <xf numFmtId="0" fontId="1" fillId="0" borderId="0" xfId="0" applyFont="1"/>
    <xf numFmtId="0" fontId="2" fillId="0" borderId="0" xfId="0" applyFont="1"/>
    <xf numFmtId="1" fontId="2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2" xfId="0" applyNumberFormat="1" applyFont="1" applyBorder="1"/>
    <xf numFmtId="4" fontId="0" fillId="0" borderId="5" xfId="0" applyNumberFormat="1" applyBorder="1"/>
    <xf numFmtId="4" fontId="4" fillId="0" borderId="5" xfId="0" applyNumberFormat="1" applyFont="1" applyBorder="1"/>
    <xf numFmtId="4" fontId="2" fillId="0" borderId="0" xfId="0" applyNumberFormat="1" applyFont="1" applyBorder="1"/>
    <xf numFmtId="1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/>
    </xf>
    <xf numFmtId="0" fontId="8" fillId="0" borderId="0" xfId="0" applyFont="1" applyFill="1"/>
    <xf numFmtId="4" fontId="10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11" fillId="0" borderId="0" xfId="0" applyFont="1" applyFill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2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5" fillId="0" borderId="8" xfId="1" applyNumberFormat="1" applyFont="1" applyFill="1" applyBorder="1" applyAlignment="1">
      <alignment horizontal="left" vertical="center" wrapText="1"/>
    </xf>
    <xf numFmtId="0" fontId="12" fillId="0" borderId="8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2" fillId="0" borderId="8" xfId="1" applyNumberFormat="1" applyFont="1" applyFill="1" applyBorder="1" applyAlignment="1">
      <alignment horizontal="center" vertical="center"/>
    </xf>
    <xf numFmtId="0" fontId="17" fillId="0" borderId="8" xfId="1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/>
    <xf numFmtId="4" fontId="4" fillId="0" borderId="0" xfId="0" applyNumberFormat="1" applyFont="1" applyAlignment="1"/>
    <xf numFmtId="4" fontId="5" fillId="0" borderId="3" xfId="0" applyNumberFormat="1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0" fontId="15" fillId="0" borderId="0" xfId="1" applyNumberFormat="1" applyFont="1" applyFill="1" applyBorder="1" applyAlignment="1">
      <alignment horizontal="left" vertical="center" wrapText="1"/>
    </xf>
    <xf numFmtId="0" fontId="17" fillId="0" borderId="8" xfId="1" applyNumberFormat="1" applyFont="1" applyFill="1" applyBorder="1" applyAlignment="1">
      <alignment horizontal="center" vertical="center" wrapText="1"/>
    </xf>
    <xf numFmtId="4" fontId="5" fillId="0" borderId="0" xfId="0" quotePrefix="1" applyNumberFormat="1" applyFont="1" applyFill="1" applyBorder="1" applyAlignment="1">
      <alignment horizontal="left" vertical="center" wrapText="1"/>
    </xf>
    <xf numFmtId="164" fontId="2" fillId="0" borderId="0" xfId="0" applyNumberFormat="1" applyFont="1"/>
    <xf numFmtId="4" fontId="9" fillId="0" borderId="0" xfId="0" applyNumberFormat="1" applyFont="1" applyFill="1" applyAlignment="1">
      <alignment horizontal="center" wrapText="1"/>
    </xf>
    <xf numFmtId="0" fontId="2" fillId="0" borderId="0" xfId="0" applyFont="1" applyBorder="1"/>
    <xf numFmtId="4" fontId="5" fillId="0" borderId="7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/>
    </xf>
    <xf numFmtId="4" fontId="5" fillId="3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 wrapText="1"/>
    </xf>
    <xf numFmtId="4" fontId="5" fillId="0" borderId="0" xfId="0" quotePrefix="1" applyNumberFormat="1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4" fontId="5" fillId="3" borderId="0" xfId="0" quotePrefix="1" applyNumberFormat="1" applyFont="1" applyFill="1" applyBorder="1" applyAlignment="1">
      <alignment horizontal="left" vertical="center"/>
    </xf>
    <xf numFmtId="4" fontId="5" fillId="0" borderId="0" xfId="0" applyNumberFormat="1" applyFont="1" applyFill="1" applyBorder="1" applyAlignment="1">
      <alignment horizontal="left" vertical="center" wrapText="1"/>
    </xf>
    <xf numFmtId="4" fontId="5" fillId="0" borderId="0" xfId="0" quotePrefix="1" applyNumberFormat="1" applyFont="1" applyBorder="1" applyAlignment="1">
      <alignment horizontal="center"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left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Αφθονία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0"/>
  <sheetViews>
    <sheetView topLeftCell="A58" workbookViewId="0">
      <selection activeCell="E75" sqref="E75"/>
    </sheetView>
  </sheetViews>
  <sheetFormatPr defaultRowHeight="15"/>
  <cols>
    <col min="1" max="2" width="10.140625" style="1" customWidth="1"/>
    <col min="3" max="6" width="9.140625" style="1"/>
    <col min="7" max="8" width="10.140625" style="1" customWidth="1"/>
    <col min="9" max="10" width="9.140625" style="1"/>
    <col min="11" max="11" width="12.140625" style="1" customWidth="1"/>
    <col min="12" max="12" width="11.7109375" style="1" customWidth="1"/>
    <col min="13" max="14" width="10.140625" style="1" customWidth="1"/>
    <col min="15" max="16384" width="9.140625" style="1"/>
  </cols>
  <sheetData>
    <row r="1" spans="1:3">
      <c r="A1" s="1">
        <v>1900</v>
      </c>
    </row>
    <row r="2" spans="1:3">
      <c r="A2" s="1">
        <v>4.5</v>
      </c>
    </row>
    <row r="3" spans="1:3">
      <c r="A3" s="1">
        <v>0.1</v>
      </c>
    </row>
    <row r="4" spans="1:3">
      <c r="A4" s="1">
        <f>A3*A2*A1</f>
        <v>855</v>
      </c>
      <c r="B4" s="1">
        <v>2.6</v>
      </c>
      <c r="C4" s="1">
        <f>A4*B4</f>
        <v>2223</v>
      </c>
    </row>
    <row r="7" spans="1:3">
      <c r="A7" s="1">
        <f>11.5+1.9</f>
        <v>13.4</v>
      </c>
      <c r="B7" s="1">
        <f>A7*A4</f>
        <v>11457</v>
      </c>
    </row>
    <row r="14" spans="1:3">
      <c r="A14" s="1">
        <f>1900*4.5</f>
        <v>8550</v>
      </c>
    </row>
    <row r="15" spans="1:3">
      <c r="A15" s="1">
        <f>A14*0.41</f>
        <v>3505.5</v>
      </c>
    </row>
    <row r="16" spans="1:3">
      <c r="A16" s="1">
        <f>7.1/0.01</f>
        <v>710</v>
      </c>
    </row>
    <row r="17" spans="1:1">
      <c r="A17" s="1">
        <f>7.12*8550</f>
        <v>60876</v>
      </c>
    </row>
    <row r="18" spans="1:1">
      <c r="A18" s="1">
        <f>7.1/0.05</f>
        <v>141.99999999999997</v>
      </c>
    </row>
    <row r="19" spans="1:1">
      <c r="A19" s="1">
        <f>A18+1.9</f>
        <v>143.89999999999998</v>
      </c>
    </row>
    <row r="20" spans="1:1">
      <c r="A20" s="1">
        <f>A19*0.05</f>
        <v>7.1949999999999994</v>
      </c>
    </row>
    <row r="21" spans="1:1">
      <c r="A21" s="1">
        <f>8550*7.2</f>
        <v>61560</v>
      </c>
    </row>
    <row r="53" spans="1:14">
      <c r="D53" s="1">
        <f>1900*4</f>
        <v>7600</v>
      </c>
    </row>
    <row r="54" spans="1:14">
      <c r="D54" s="1">
        <f>D53*0.1</f>
        <v>760</v>
      </c>
    </row>
    <row r="55" spans="1:14">
      <c r="D55" s="1">
        <f>D54/2</f>
        <v>380</v>
      </c>
    </row>
    <row r="56" spans="1:14">
      <c r="A56" s="1">
        <v>2223</v>
      </c>
      <c r="D56" s="1">
        <f>D55*13.4</f>
        <v>5092</v>
      </c>
    </row>
    <row r="57" spans="1:14">
      <c r="A57" s="1">
        <v>11457</v>
      </c>
      <c r="B57" s="1">
        <v>11457</v>
      </c>
      <c r="D57" s="1">
        <f>1900*4</f>
        <v>7600</v>
      </c>
    </row>
    <row r="58" spans="1:14">
      <c r="A58" s="1">
        <v>3505.5</v>
      </c>
      <c r="B58" s="1">
        <v>3505.5</v>
      </c>
      <c r="D58" s="1">
        <f>D57*0.41</f>
        <v>3116</v>
      </c>
      <c r="G58" s="1">
        <v>5092</v>
      </c>
    </row>
    <row r="59" spans="1:14">
      <c r="A59" s="1">
        <v>60876</v>
      </c>
      <c r="B59" s="1">
        <v>60876</v>
      </c>
      <c r="G59" s="1">
        <v>3116</v>
      </c>
    </row>
    <row r="60" spans="1:14">
      <c r="A60" s="1">
        <v>61560</v>
      </c>
      <c r="B60" s="1">
        <v>61560</v>
      </c>
      <c r="G60" s="1">
        <v>54112</v>
      </c>
    </row>
    <row r="61" spans="1:14">
      <c r="A61" s="1">
        <f>SUM(A56:A60)</f>
        <v>139621.5</v>
      </c>
      <c r="B61" s="1">
        <f>SUM(B56:B60)</f>
        <v>137398.5</v>
      </c>
      <c r="G61" s="1">
        <v>54720</v>
      </c>
    </row>
    <row r="62" spans="1:14">
      <c r="G62" s="1">
        <f>SUM(G58:G61)</f>
        <v>117040</v>
      </c>
      <c r="K62" s="2" t="s">
        <v>0</v>
      </c>
      <c r="L62" s="2">
        <f>G62</f>
        <v>117040</v>
      </c>
      <c r="M62" s="2">
        <f>M64/1.18</f>
        <v>59912.168760596971</v>
      </c>
      <c r="N62" s="1">
        <f>ROUND(E75,2)</f>
        <v>59424</v>
      </c>
    </row>
    <row r="63" spans="1:14">
      <c r="K63" s="2" t="s">
        <v>1</v>
      </c>
      <c r="L63" s="2">
        <f>L62*0.18</f>
        <v>21067.200000000001</v>
      </c>
      <c r="M63" s="2"/>
      <c r="N63" s="2">
        <f>ROUND(N62*0.18,2)</f>
        <v>10696.32</v>
      </c>
    </row>
    <row r="64" spans="1:14">
      <c r="K64" s="2" t="s">
        <v>3</v>
      </c>
      <c r="L64" s="2">
        <f>L63+L62</f>
        <v>138107.20000000001</v>
      </c>
      <c r="M64" s="2">
        <f>M68/1.15</f>
        <v>70696.35913750442</v>
      </c>
      <c r="N64" s="2">
        <f>N63+N62</f>
        <v>70120.320000000007</v>
      </c>
    </row>
    <row r="65" spans="1:16">
      <c r="A65" s="1">
        <f>1900*4.5*0.05</f>
        <v>427.5</v>
      </c>
      <c r="K65" s="2" t="s">
        <v>2</v>
      </c>
      <c r="L65" s="2">
        <f>L64*0.15</f>
        <v>20716.080000000002</v>
      </c>
      <c r="M65" s="2"/>
      <c r="N65" s="2">
        <f>ROUND(N64*0.15,2)</f>
        <v>10518.05</v>
      </c>
    </row>
    <row r="66" spans="1:16">
      <c r="A66" s="1">
        <f>A65*13.4</f>
        <v>5728.5</v>
      </c>
      <c r="K66" s="2" t="s">
        <v>3</v>
      </c>
      <c r="L66" s="2">
        <f>L64+L65</f>
        <v>158823.28000000003</v>
      </c>
      <c r="M66" s="2"/>
      <c r="N66" s="2">
        <f>N64+N65</f>
        <v>80638.37000000001</v>
      </c>
    </row>
    <row r="67" spans="1:16">
      <c r="A67" s="1">
        <f>1900*4</f>
        <v>7600</v>
      </c>
      <c r="B67" s="1">
        <f>A67*7.12</f>
        <v>54112</v>
      </c>
      <c r="G67" s="1">
        <f>G68/1.23</f>
        <v>81300.813008130077</v>
      </c>
      <c r="H67" s="1">
        <f>G67*1.23</f>
        <v>100000</v>
      </c>
      <c r="K67" s="2" t="s">
        <v>4</v>
      </c>
      <c r="L67" s="2">
        <f>L66*0.02</f>
        <v>3176.4656000000004</v>
      </c>
      <c r="M67" s="2"/>
      <c r="N67" s="2">
        <v>662.44</v>
      </c>
    </row>
    <row r="68" spans="1:16">
      <c r="A68" s="1">
        <f>A67*7.2</f>
        <v>54720</v>
      </c>
      <c r="G68" s="1">
        <v>100000</v>
      </c>
      <c r="K68" s="2" t="s">
        <v>3</v>
      </c>
      <c r="L68" s="2">
        <f>L67+L66</f>
        <v>161999.74560000002</v>
      </c>
      <c r="M68" s="2">
        <f>M70/1.23</f>
        <v>81300.813008130077</v>
      </c>
      <c r="N68" s="2">
        <f>N67+N66</f>
        <v>81300.810000000012</v>
      </c>
    </row>
    <row r="69" spans="1:16">
      <c r="K69" s="2" t="s">
        <v>5</v>
      </c>
      <c r="L69" s="2">
        <f>L68*0.23</f>
        <v>37259.941488000004</v>
      </c>
      <c r="M69" s="2"/>
      <c r="N69" s="2">
        <f>ROUND(N68*0.23,2)</f>
        <v>18699.189999999999</v>
      </c>
    </row>
    <row r="70" spans="1:16">
      <c r="K70" s="2" t="s">
        <v>3</v>
      </c>
      <c r="L70" s="2">
        <f>L69+L68</f>
        <v>199259.68708800004</v>
      </c>
      <c r="M70" s="2">
        <v>100000</v>
      </c>
      <c r="N70" s="2">
        <f>N69+N68</f>
        <v>100000.00000000001</v>
      </c>
      <c r="O70" s="1">
        <f>M70-N70</f>
        <v>0</v>
      </c>
      <c r="P70" s="1">
        <f>O70/1.23</f>
        <v>0</v>
      </c>
    </row>
    <row r="72" spans="1:16">
      <c r="A72" s="1">
        <f>1000*4</f>
        <v>4000</v>
      </c>
      <c r="B72" s="1">
        <f>A72*0.04</f>
        <v>160</v>
      </c>
      <c r="C72" s="1">
        <v>13.4</v>
      </c>
      <c r="D72" s="1">
        <f>B72*C72</f>
        <v>2144</v>
      </c>
    </row>
    <row r="73" spans="1:16">
      <c r="A73" s="1">
        <f>A72</f>
        <v>4000</v>
      </c>
      <c r="C73" s="1">
        <v>0.41</v>
      </c>
    </row>
    <row r="74" spans="1:16">
      <c r="A74" s="1">
        <f>A73</f>
        <v>4000</v>
      </c>
      <c r="C74" s="1">
        <v>7.12</v>
      </c>
      <c r="D74" s="1">
        <f>C74*A74</f>
        <v>28480</v>
      </c>
    </row>
    <row r="75" spans="1:16">
      <c r="A75" s="1">
        <f>A74</f>
        <v>4000</v>
      </c>
      <c r="C75" s="1">
        <v>7.2</v>
      </c>
      <c r="D75" s="1">
        <f>C75*A75</f>
        <v>28800</v>
      </c>
      <c r="E75" s="1">
        <f>SUM(D72:D75)</f>
        <v>59424</v>
      </c>
    </row>
    <row r="80" spans="1:16">
      <c r="A80" s="1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6"/>
  <sheetViews>
    <sheetView tabSelected="1" workbookViewId="0">
      <selection activeCell="A8" sqref="A8:XFD8"/>
    </sheetView>
  </sheetViews>
  <sheetFormatPr defaultRowHeight="12.75"/>
  <cols>
    <col min="1" max="1" width="4.85546875" style="4" customWidth="1"/>
    <col min="2" max="2" width="26.140625" style="4" customWidth="1"/>
    <col min="3" max="3" width="11.28515625" style="4" customWidth="1"/>
    <col min="4" max="4" width="10.5703125" style="4" customWidth="1"/>
    <col min="5" max="5" width="8.28515625" style="4" customWidth="1"/>
    <col min="6" max="6" width="11" style="4" customWidth="1"/>
    <col min="7" max="7" width="10.28515625" style="20" customWidth="1"/>
    <col min="8" max="8" width="15" style="20" customWidth="1"/>
    <col min="9" max="9" width="11.7109375" style="20" customWidth="1"/>
    <col min="10" max="10" width="11.28515625" style="20" customWidth="1"/>
    <col min="11" max="11" width="48.7109375" style="20" customWidth="1"/>
    <col min="12" max="12" width="18.85546875" style="4" customWidth="1"/>
    <col min="13" max="13" width="13.140625" style="4" customWidth="1"/>
    <col min="14" max="14" width="13.85546875" style="4" customWidth="1"/>
    <col min="15" max="256" width="9.140625" style="4"/>
    <col min="257" max="257" width="4.85546875" style="4" customWidth="1"/>
    <col min="258" max="258" width="22.5703125" style="4" customWidth="1"/>
    <col min="259" max="259" width="7.7109375" style="4" customWidth="1"/>
    <col min="260" max="260" width="10.5703125" style="4" customWidth="1"/>
    <col min="261" max="261" width="8.28515625" style="4" customWidth="1"/>
    <col min="262" max="262" width="10" style="4" bestFit="1" customWidth="1"/>
    <col min="263" max="263" width="10.28515625" style="4" bestFit="1" customWidth="1"/>
    <col min="264" max="264" width="15" style="4" customWidth="1"/>
    <col min="265" max="265" width="11.7109375" style="4" customWidth="1"/>
    <col min="266" max="266" width="11.28515625" style="4" bestFit="1" customWidth="1"/>
    <col min="267" max="267" width="10.140625" style="4" bestFit="1" customWidth="1"/>
    <col min="268" max="268" width="11.28515625" style="4" customWidth="1"/>
    <col min="269" max="512" width="9.140625" style="4"/>
    <col min="513" max="513" width="4.85546875" style="4" customWidth="1"/>
    <col min="514" max="514" width="22.5703125" style="4" customWidth="1"/>
    <col min="515" max="515" width="7.7109375" style="4" customWidth="1"/>
    <col min="516" max="516" width="10.5703125" style="4" customWidth="1"/>
    <col min="517" max="517" width="8.28515625" style="4" customWidth="1"/>
    <col min="518" max="518" width="10" style="4" bestFit="1" customWidth="1"/>
    <col min="519" max="519" width="10.28515625" style="4" bestFit="1" customWidth="1"/>
    <col min="520" max="520" width="15" style="4" customWidth="1"/>
    <col min="521" max="521" width="11.7109375" style="4" customWidth="1"/>
    <col min="522" max="522" width="11.28515625" style="4" bestFit="1" customWidth="1"/>
    <col min="523" max="523" width="10.140625" style="4" bestFit="1" customWidth="1"/>
    <col min="524" max="524" width="11.28515625" style="4" customWidth="1"/>
    <col min="525" max="768" width="9.140625" style="4"/>
    <col min="769" max="769" width="4.85546875" style="4" customWidth="1"/>
    <col min="770" max="770" width="22.5703125" style="4" customWidth="1"/>
    <col min="771" max="771" width="7.7109375" style="4" customWidth="1"/>
    <col min="772" max="772" width="10.5703125" style="4" customWidth="1"/>
    <col min="773" max="773" width="8.28515625" style="4" customWidth="1"/>
    <col min="774" max="774" width="10" style="4" bestFit="1" customWidth="1"/>
    <col min="775" max="775" width="10.28515625" style="4" bestFit="1" customWidth="1"/>
    <col min="776" max="776" width="15" style="4" customWidth="1"/>
    <col min="777" max="777" width="11.7109375" style="4" customWidth="1"/>
    <col min="778" max="778" width="11.28515625" style="4" bestFit="1" customWidth="1"/>
    <col min="779" max="779" width="10.140625" style="4" bestFit="1" customWidth="1"/>
    <col min="780" max="780" width="11.28515625" style="4" customWidth="1"/>
    <col min="781" max="1024" width="9.140625" style="4"/>
    <col min="1025" max="1025" width="4.85546875" style="4" customWidth="1"/>
    <col min="1026" max="1026" width="22.5703125" style="4" customWidth="1"/>
    <col min="1027" max="1027" width="7.7109375" style="4" customWidth="1"/>
    <col min="1028" max="1028" width="10.5703125" style="4" customWidth="1"/>
    <col min="1029" max="1029" width="8.28515625" style="4" customWidth="1"/>
    <col min="1030" max="1030" width="10" style="4" bestFit="1" customWidth="1"/>
    <col min="1031" max="1031" width="10.28515625" style="4" bestFit="1" customWidth="1"/>
    <col min="1032" max="1032" width="15" style="4" customWidth="1"/>
    <col min="1033" max="1033" width="11.7109375" style="4" customWidth="1"/>
    <col min="1034" max="1034" width="11.28515625" style="4" bestFit="1" customWidth="1"/>
    <col min="1035" max="1035" width="10.140625" style="4" bestFit="1" customWidth="1"/>
    <col min="1036" max="1036" width="11.28515625" style="4" customWidth="1"/>
    <col min="1037" max="1280" width="9.140625" style="4"/>
    <col min="1281" max="1281" width="4.85546875" style="4" customWidth="1"/>
    <col min="1282" max="1282" width="22.5703125" style="4" customWidth="1"/>
    <col min="1283" max="1283" width="7.7109375" style="4" customWidth="1"/>
    <col min="1284" max="1284" width="10.5703125" style="4" customWidth="1"/>
    <col min="1285" max="1285" width="8.28515625" style="4" customWidth="1"/>
    <col min="1286" max="1286" width="10" style="4" bestFit="1" customWidth="1"/>
    <col min="1287" max="1287" width="10.28515625" style="4" bestFit="1" customWidth="1"/>
    <col min="1288" max="1288" width="15" style="4" customWidth="1"/>
    <col min="1289" max="1289" width="11.7109375" style="4" customWidth="1"/>
    <col min="1290" max="1290" width="11.28515625" style="4" bestFit="1" customWidth="1"/>
    <col min="1291" max="1291" width="10.140625" style="4" bestFit="1" customWidth="1"/>
    <col min="1292" max="1292" width="11.28515625" style="4" customWidth="1"/>
    <col min="1293" max="1536" width="9.140625" style="4"/>
    <col min="1537" max="1537" width="4.85546875" style="4" customWidth="1"/>
    <col min="1538" max="1538" width="22.5703125" style="4" customWidth="1"/>
    <col min="1539" max="1539" width="7.7109375" style="4" customWidth="1"/>
    <col min="1540" max="1540" width="10.5703125" style="4" customWidth="1"/>
    <col min="1541" max="1541" width="8.28515625" style="4" customWidth="1"/>
    <col min="1542" max="1542" width="10" style="4" bestFit="1" customWidth="1"/>
    <col min="1543" max="1543" width="10.28515625" style="4" bestFit="1" customWidth="1"/>
    <col min="1544" max="1544" width="15" style="4" customWidth="1"/>
    <col min="1545" max="1545" width="11.7109375" style="4" customWidth="1"/>
    <col min="1546" max="1546" width="11.28515625" style="4" bestFit="1" customWidth="1"/>
    <col min="1547" max="1547" width="10.140625" style="4" bestFit="1" customWidth="1"/>
    <col min="1548" max="1548" width="11.28515625" style="4" customWidth="1"/>
    <col min="1549" max="1792" width="9.140625" style="4"/>
    <col min="1793" max="1793" width="4.85546875" style="4" customWidth="1"/>
    <col min="1794" max="1794" width="22.5703125" style="4" customWidth="1"/>
    <col min="1795" max="1795" width="7.7109375" style="4" customWidth="1"/>
    <col min="1796" max="1796" width="10.5703125" style="4" customWidth="1"/>
    <col min="1797" max="1797" width="8.28515625" style="4" customWidth="1"/>
    <col min="1798" max="1798" width="10" style="4" bestFit="1" customWidth="1"/>
    <col min="1799" max="1799" width="10.28515625" style="4" bestFit="1" customWidth="1"/>
    <col min="1800" max="1800" width="15" style="4" customWidth="1"/>
    <col min="1801" max="1801" width="11.7109375" style="4" customWidth="1"/>
    <col min="1802" max="1802" width="11.28515625" style="4" bestFit="1" customWidth="1"/>
    <col min="1803" max="1803" width="10.140625" style="4" bestFit="1" customWidth="1"/>
    <col min="1804" max="1804" width="11.28515625" style="4" customWidth="1"/>
    <col min="1805" max="2048" width="9.140625" style="4"/>
    <col min="2049" max="2049" width="4.85546875" style="4" customWidth="1"/>
    <col min="2050" max="2050" width="22.5703125" style="4" customWidth="1"/>
    <col min="2051" max="2051" width="7.7109375" style="4" customWidth="1"/>
    <col min="2052" max="2052" width="10.5703125" style="4" customWidth="1"/>
    <col min="2053" max="2053" width="8.28515625" style="4" customWidth="1"/>
    <col min="2054" max="2054" width="10" style="4" bestFit="1" customWidth="1"/>
    <col min="2055" max="2055" width="10.28515625" style="4" bestFit="1" customWidth="1"/>
    <col min="2056" max="2056" width="15" style="4" customWidth="1"/>
    <col min="2057" max="2057" width="11.7109375" style="4" customWidth="1"/>
    <col min="2058" max="2058" width="11.28515625" style="4" bestFit="1" customWidth="1"/>
    <col min="2059" max="2059" width="10.140625" style="4" bestFit="1" customWidth="1"/>
    <col min="2060" max="2060" width="11.28515625" style="4" customWidth="1"/>
    <col min="2061" max="2304" width="9.140625" style="4"/>
    <col min="2305" max="2305" width="4.85546875" style="4" customWidth="1"/>
    <col min="2306" max="2306" width="22.5703125" style="4" customWidth="1"/>
    <col min="2307" max="2307" width="7.7109375" style="4" customWidth="1"/>
    <col min="2308" max="2308" width="10.5703125" style="4" customWidth="1"/>
    <col min="2309" max="2309" width="8.28515625" style="4" customWidth="1"/>
    <col min="2310" max="2310" width="10" style="4" bestFit="1" customWidth="1"/>
    <col min="2311" max="2311" width="10.28515625" style="4" bestFit="1" customWidth="1"/>
    <col min="2312" max="2312" width="15" style="4" customWidth="1"/>
    <col min="2313" max="2313" width="11.7109375" style="4" customWidth="1"/>
    <col min="2314" max="2314" width="11.28515625" style="4" bestFit="1" customWidth="1"/>
    <col min="2315" max="2315" width="10.140625" style="4" bestFit="1" customWidth="1"/>
    <col min="2316" max="2316" width="11.28515625" style="4" customWidth="1"/>
    <col min="2317" max="2560" width="9.140625" style="4"/>
    <col min="2561" max="2561" width="4.85546875" style="4" customWidth="1"/>
    <col min="2562" max="2562" width="22.5703125" style="4" customWidth="1"/>
    <col min="2563" max="2563" width="7.7109375" style="4" customWidth="1"/>
    <col min="2564" max="2564" width="10.5703125" style="4" customWidth="1"/>
    <col min="2565" max="2565" width="8.28515625" style="4" customWidth="1"/>
    <col min="2566" max="2566" width="10" style="4" bestFit="1" customWidth="1"/>
    <col min="2567" max="2567" width="10.28515625" style="4" bestFit="1" customWidth="1"/>
    <col min="2568" max="2568" width="15" style="4" customWidth="1"/>
    <col min="2569" max="2569" width="11.7109375" style="4" customWidth="1"/>
    <col min="2570" max="2570" width="11.28515625" style="4" bestFit="1" customWidth="1"/>
    <col min="2571" max="2571" width="10.140625" style="4" bestFit="1" customWidth="1"/>
    <col min="2572" max="2572" width="11.28515625" style="4" customWidth="1"/>
    <col min="2573" max="2816" width="9.140625" style="4"/>
    <col min="2817" max="2817" width="4.85546875" style="4" customWidth="1"/>
    <col min="2818" max="2818" width="22.5703125" style="4" customWidth="1"/>
    <col min="2819" max="2819" width="7.7109375" style="4" customWidth="1"/>
    <col min="2820" max="2820" width="10.5703125" style="4" customWidth="1"/>
    <col min="2821" max="2821" width="8.28515625" style="4" customWidth="1"/>
    <col min="2822" max="2822" width="10" style="4" bestFit="1" customWidth="1"/>
    <col min="2823" max="2823" width="10.28515625" style="4" bestFit="1" customWidth="1"/>
    <col min="2824" max="2824" width="15" style="4" customWidth="1"/>
    <col min="2825" max="2825" width="11.7109375" style="4" customWidth="1"/>
    <col min="2826" max="2826" width="11.28515625" style="4" bestFit="1" customWidth="1"/>
    <col min="2827" max="2827" width="10.140625" style="4" bestFit="1" customWidth="1"/>
    <col min="2828" max="2828" width="11.28515625" style="4" customWidth="1"/>
    <col min="2829" max="3072" width="9.140625" style="4"/>
    <col min="3073" max="3073" width="4.85546875" style="4" customWidth="1"/>
    <col min="3074" max="3074" width="22.5703125" style="4" customWidth="1"/>
    <col min="3075" max="3075" width="7.7109375" style="4" customWidth="1"/>
    <col min="3076" max="3076" width="10.5703125" style="4" customWidth="1"/>
    <col min="3077" max="3077" width="8.28515625" style="4" customWidth="1"/>
    <col min="3078" max="3078" width="10" style="4" bestFit="1" customWidth="1"/>
    <col min="3079" max="3079" width="10.28515625" style="4" bestFit="1" customWidth="1"/>
    <col min="3080" max="3080" width="15" style="4" customWidth="1"/>
    <col min="3081" max="3081" width="11.7109375" style="4" customWidth="1"/>
    <col min="3082" max="3082" width="11.28515625" style="4" bestFit="1" customWidth="1"/>
    <col min="3083" max="3083" width="10.140625" style="4" bestFit="1" customWidth="1"/>
    <col min="3084" max="3084" width="11.28515625" style="4" customWidth="1"/>
    <col min="3085" max="3328" width="9.140625" style="4"/>
    <col min="3329" max="3329" width="4.85546875" style="4" customWidth="1"/>
    <col min="3330" max="3330" width="22.5703125" style="4" customWidth="1"/>
    <col min="3331" max="3331" width="7.7109375" style="4" customWidth="1"/>
    <col min="3332" max="3332" width="10.5703125" style="4" customWidth="1"/>
    <col min="3333" max="3333" width="8.28515625" style="4" customWidth="1"/>
    <col min="3334" max="3334" width="10" style="4" bestFit="1" customWidth="1"/>
    <col min="3335" max="3335" width="10.28515625" style="4" bestFit="1" customWidth="1"/>
    <col min="3336" max="3336" width="15" style="4" customWidth="1"/>
    <col min="3337" max="3337" width="11.7109375" style="4" customWidth="1"/>
    <col min="3338" max="3338" width="11.28515625" style="4" bestFit="1" customWidth="1"/>
    <col min="3339" max="3339" width="10.140625" style="4" bestFit="1" customWidth="1"/>
    <col min="3340" max="3340" width="11.28515625" style="4" customWidth="1"/>
    <col min="3341" max="3584" width="9.140625" style="4"/>
    <col min="3585" max="3585" width="4.85546875" style="4" customWidth="1"/>
    <col min="3586" max="3586" width="22.5703125" style="4" customWidth="1"/>
    <col min="3587" max="3587" width="7.7109375" style="4" customWidth="1"/>
    <col min="3588" max="3588" width="10.5703125" style="4" customWidth="1"/>
    <col min="3589" max="3589" width="8.28515625" style="4" customWidth="1"/>
    <col min="3590" max="3590" width="10" style="4" bestFit="1" customWidth="1"/>
    <col min="3591" max="3591" width="10.28515625" style="4" bestFit="1" customWidth="1"/>
    <col min="3592" max="3592" width="15" style="4" customWidth="1"/>
    <col min="3593" max="3593" width="11.7109375" style="4" customWidth="1"/>
    <col min="3594" max="3594" width="11.28515625" style="4" bestFit="1" customWidth="1"/>
    <col min="3595" max="3595" width="10.140625" style="4" bestFit="1" customWidth="1"/>
    <col min="3596" max="3596" width="11.28515625" style="4" customWidth="1"/>
    <col min="3597" max="3840" width="9.140625" style="4"/>
    <col min="3841" max="3841" width="4.85546875" style="4" customWidth="1"/>
    <col min="3842" max="3842" width="22.5703125" style="4" customWidth="1"/>
    <col min="3843" max="3843" width="7.7109375" style="4" customWidth="1"/>
    <col min="3844" max="3844" width="10.5703125" style="4" customWidth="1"/>
    <col min="3845" max="3845" width="8.28515625" style="4" customWidth="1"/>
    <col min="3846" max="3846" width="10" style="4" bestFit="1" customWidth="1"/>
    <col min="3847" max="3847" width="10.28515625" style="4" bestFit="1" customWidth="1"/>
    <col min="3848" max="3848" width="15" style="4" customWidth="1"/>
    <col min="3849" max="3849" width="11.7109375" style="4" customWidth="1"/>
    <col min="3850" max="3850" width="11.28515625" style="4" bestFit="1" customWidth="1"/>
    <col min="3851" max="3851" width="10.140625" style="4" bestFit="1" customWidth="1"/>
    <col min="3852" max="3852" width="11.28515625" style="4" customWidth="1"/>
    <col min="3853" max="4096" width="9.140625" style="4"/>
    <col min="4097" max="4097" width="4.85546875" style="4" customWidth="1"/>
    <col min="4098" max="4098" width="22.5703125" style="4" customWidth="1"/>
    <col min="4099" max="4099" width="7.7109375" style="4" customWidth="1"/>
    <col min="4100" max="4100" width="10.5703125" style="4" customWidth="1"/>
    <col min="4101" max="4101" width="8.28515625" style="4" customWidth="1"/>
    <col min="4102" max="4102" width="10" style="4" bestFit="1" customWidth="1"/>
    <col min="4103" max="4103" width="10.28515625" style="4" bestFit="1" customWidth="1"/>
    <col min="4104" max="4104" width="15" style="4" customWidth="1"/>
    <col min="4105" max="4105" width="11.7109375" style="4" customWidth="1"/>
    <col min="4106" max="4106" width="11.28515625" style="4" bestFit="1" customWidth="1"/>
    <col min="4107" max="4107" width="10.140625" style="4" bestFit="1" customWidth="1"/>
    <col min="4108" max="4108" width="11.28515625" style="4" customWidth="1"/>
    <col min="4109" max="4352" width="9.140625" style="4"/>
    <col min="4353" max="4353" width="4.85546875" style="4" customWidth="1"/>
    <col min="4354" max="4354" width="22.5703125" style="4" customWidth="1"/>
    <col min="4355" max="4355" width="7.7109375" style="4" customWidth="1"/>
    <col min="4356" max="4356" width="10.5703125" style="4" customWidth="1"/>
    <col min="4357" max="4357" width="8.28515625" style="4" customWidth="1"/>
    <col min="4358" max="4358" width="10" style="4" bestFit="1" customWidth="1"/>
    <col min="4359" max="4359" width="10.28515625" style="4" bestFit="1" customWidth="1"/>
    <col min="4360" max="4360" width="15" style="4" customWidth="1"/>
    <col min="4361" max="4361" width="11.7109375" style="4" customWidth="1"/>
    <col min="4362" max="4362" width="11.28515625" style="4" bestFit="1" customWidth="1"/>
    <col min="4363" max="4363" width="10.140625" style="4" bestFit="1" customWidth="1"/>
    <col min="4364" max="4364" width="11.28515625" style="4" customWidth="1"/>
    <col min="4365" max="4608" width="9.140625" style="4"/>
    <col min="4609" max="4609" width="4.85546875" style="4" customWidth="1"/>
    <col min="4610" max="4610" width="22.5703125" style="4" customWidth="1"/>
    <col min="4611" max="4611" width="7.7109375" style="4" customWidth="1"/>
    <col min="4612" max="4612" width="10.5703125" style="4" customWidth="1"/>
    <col min="4613" max="4613" width="8.28515625" style="4" customWidth="1"/>
    <col min="4614" max="4614" width="10" style="4" bestFit="1" customWidth="1"/>
    <col min="4615" max="4615" width="10.28515625" style="4" bestFit="1" customWidth="1"/>
    <col min="4616" max="4616" width="15" style="4" customWidth="1"/>
    <col min="4617" max="4617" width="11.7109375" style="4" customWidth="1"/>
    <col min="4618" max="4618" width="11.28515625" style="4" bestFit="1" customWidth="1"/>
    <col min="4619" max="4619" width="10.140625" style="4" bestFit="1" customWidth="1"/>
    <col min="4620" max="4620" width="11.28515625" style="4" customWidth="1"/>
    <col min="4621" max="4864" width="9.140625" style="4"/>
    <col min="4865" max="4865" width="4.85546875" style="4" customWidth="1"/>
    <col min="4866" max="4866" width="22.5703125" style="4" customWidth="1"/>
    <col min="4867" max="4867" width="7.7109375" style="4" customWidth="1"/>
    <col min="4868" max="4868" width="10.5703125" style="4" customWidth="1"/>
    <col min="4869" max="4869" width="8.28515625" style="4" customWidth="1"/>
    <col min="4870" max="4870" width="10" style="4" bestFit="1" customWidth="1"/>
    <col min="4871" max="4871" width="10.28515625" style="4" bestFit="1" customWidth="1"/>
    <col min="4872" max="4872" width="15" style="4" customWidth="1"/>
    <col min="4873" max="4873" width="11.7109375" style="4" customWidth="1"/>
    <col min="4874" max="4874" width="11.28515625" style="4" bestFit="1" customWidth="1"/>
    <col min="4875" max="4875" width="10.140625" style="4" bestFit="1" customWidth="1"/>
    <col min="4876" max="4876" width="11.28515625" style="4" customWidth="1"/>
    <col min="4877" max="5120" width="9.140625" style="4"/>
    <col min="5121" max="5121" width="4.85546875" style="4" customWidth="1"/>
    <col min="5122" max="5122" width="22.5703125" style="4" customWidth="1"/>
    <col min="5123" max="5123" width="7.7109375" style="4" customWidth="1"/>
    <col min="5124" max="5124" width="10.5703125" style="4" customWidth="1"/>
    <col min="5125" max="5125" width="8.28515625" style="4" customWidth="1"/>
    <col min="5126" max="5126" width="10" style="4" bestFit="1" customWidth="1"/>
    <col min="5127" max="5127" width="10.28515625" style="4" bestFit="1" customWidth="1"/>
    <col min="5128" max="5128" width="15" style="4" customWidth="1"/>
    <col min="5129" max="5129" width="11.7109375" style="4" customWidth="1"/>
    <col min="5130" max="5130" width="11.28515625" style="4" bestFit="1" customWidth="1"/>
    <col min="5131" max="5131" width="10.140625" style="4" bestFit="1" customWidth="1"/>
    <col min="5132" max="5132" width="11.28515625" style="4" customWidth="1"/>
    <col min="5133" max="5376" width="9.140625" style="4"/>
    <col min="5377" max="5377" width="4.85546875" style="4" customWidth="1"/>
    <col min="5378" max="5378" width="22.5703125" style="4" customWidth="1"/>
    <col min="5379" max="5379" width="7.7109375" style="4" customWidth="1"/>
    <col min="5380" max="5380" width="10.5703125" style="4" customWidth="1"/>
    <col min="5381" max="5381" width="8.28515625" style="4" customWidth="1"/>
    <col min="5382" max="5382" width="10" style="4" bestFit="1" customWidth="1"/>
    <col min="5383" max="5383" width="10.28515625" style="4" bestFit="1" customWidth="1"/>
    <col min="5384" max="5384" width="15" style="4" customWidth="1"/>
    <col min="5385" max="5385" width="11.7109375" style="4" customWidth="1"/>
    <col min="5386" max="5386" width="11.28515625" style="4" bestFit="1" customWidth="1"/>
    <col min="5387" max="5387" width="10.140625" style="4" bestFit="1" customWidth="1"/>
    <col min="5388" max="5388" width="11.28515625" style="4" customWidth="1"/>
    <col min="5389" max="5632" width="9.140625" style="4"/>
    <col min="5633" max="5633" width="4.85546875" style="4" customWidth="1"/>
    <col min="5634" max="5634" width="22.5703125" style="4" customWidth="1"/>
    <col min="5635" max="5635" width="7.7109375" style="4" customWidth="1"/>
    <col min="5636" max="5636" width="10.5703125" style="4" customWidth="1"/>
    <col min="5637" max="5637" width="8.28515625" style="4" customWidth="1"/>
    <col min="5638" max="5638" width="10" style="4" bestFit="1" customWidth="1"/>
    <col min="5639" max="5639" width="10.28515625" style="4" bestFit="1" customWidth="1"/>
    <col min="5640" max="5640" width="15" style="4" customWidth="1"/>
    <col min="5641" max="5641" width="11.7109375" style="4" customWidth="1"/>
    <col min="5642" max="5642" width="11.28515625" style="4" bestFit="1" customWidth="1"/>
    <col min="5643" max="5643" width="10.140625" style="4" bestFit="1" customWidth="1"/>
    <col min="5644" max="5644" width="11.28515625" style="4" customWidth="1"/>
    <col min="5645" max="5888" width="9.140625" style="4"/>
    <col min="5889" max="5889" width="4.85546875" style="4" customWidth="1"/>
    <col min="5890" max="5890" width="22.5703125" style="4" customWidth="1"/>
    <col min="5891" max="5891" width="7.7109375" style="4" customWidth="1"/>
    <col min="5892" max="5892" width="10.5703125" style="4" customWidth="1"/>
    <col min="5893" max="5893" width="8.28515625" style="4" customWidth="1"/>
    <col min="5894" max="5894" width="10" style="4" bestFit="1" customWidth="1"/>
    <col min="5895" max="5895" width="10.28515625" style="4" bestFit="1" customWidth="1"/>
    <col min="5896" max="5896" width="15" style="4" customWidth="1"/>
    <col min="5897" max="5897" width="11.7109375" style="4" customWidth="1"/>
    <col min="5898" max="5898" width="11.28515625" style="4" bestFit="1" customWidth="1"/>
    <col min="5899" max="5899" width="10.140625" style="4" bestFit="1" customWidth="1"/>
    <col min="5900" max="5900" width="11.28515625" style="4" customWidth="1"/>
    <col min="5901" max="6144" width="9.140625" style="4"/>
    <col min="6145" max="6145" width="4.85546875" style="4" customWidth="1"/>
    <col min="6146" max="6146" width="22.5703125" style="4" customWidth="1"/>
    <col min="6147" max="6147" width="7.7109375" style="4" customWidth="1"/>
    <col min="6148" max="6148" width="10.5703125" style="4" customWidth="1"/>
    <col min="6149" max="6149" width="8.28515625" style="4" customWidth="1"/>
    <col min="6150" max="6150" width="10" style="4" bestFit="1" customWidth="1"/>
    <col min="6151" max="6151" width="10.28515625" style="4" bestFit="1" customWidth="1"/>
    <col min="6152" max="6152" width="15" style="4" customWidth="1"/>
    <col min="6153" max="6153" width="11.7109375" style="4" customWidth="1"/>
    <col min="6154" max="6154" width="11.28515625" style="4" bestFit="1" customWidth="1"/>
    <col min="6155" max="6155" width="10.140625" style="4" bestFit="1" customWidth="1"/>
    <col min="6156" max="6156" width="11.28515625" style="4" customWidth="1"/>
    <col min="6157" max="6400" width="9.140625" style="4"/>
    <col min="6401" max="6401" width="4.85546875" style="4" customWidth="1"/>
    <col min="6402" max="6402" width="22.5703125" style="4" customWidth="1"/>
    <col min="6403" max="6403" width="7.7109375" style="4" customWidth="1"/>
    <col min="6404" max="6404" width="10.5703125" style="4" customWidth="1"/>
    <col min="6405" max="6405" width="8.28515625" style="4" customWidth="1"/>
    <col min="6406" max="6406" width="10" style="4" bestFit="1" customWidth="1"/>
    <col min="6407" max="6407" width="10.28515625" style="4" bestFit="1" customWidth="1"/>
    <col min="6408" max="6408" width="15" style="4" customWidth="1"/>
    <col min="6409" max="6409" width="11.7109375" style="4" customWidth="1"/>
    <col min="6410" max="6410" width="11.28515625" style="4" bestFit="1" customWidth="1"/>
    <col min="6411" max="6411" width="10.140625" style="4" bestFit="1" customWidth="1"/>
    <col min="6412" max="6412" width="11.28515625" style="4" customWidth="1"/>
    <col min="6413" max="6656" width="9.140625" style="4"/>
    <col min="6657" max="6657" width="4.85546875" style="4" customWidth="1"/>
    <col min="6658" max="6658" width="22.5703125" style="4" customWidth="1"/>
    <col min="6659" max="6659" width="7.7109375" style="4" customWidth="1"/>
    <col min="6660" max="6660" width="10.5703125" style="4" customWidth="1"/>
    <col min="6661" max="6661" width="8.28515625" style="4" customWidth="1"/>
    <col min="6662" max="6662" width="10" style="4" bestFit="1" customWidth="1"/>
    <col min="6663" max="6663" width="10.28515625" style="4" bestFit="1" customWidth="1"/>
    <col min="6664" max="6664" width="15" style="4" customWidth="1"/>
    <col min="6665" max="6665" width="11.7109375" style="4" customWidth="1"/>
    <col min="6666" max="6666" width="11.28515625" style="4" bestFit="1" customWidth="1"/>
    <col min="6667" max="6667" width="10.140625" style="4" bestFit="1" customWidth="1"/>
    <col min="6668" max="6668" width="11.28515625" style="4" customWidth="1"/>
    <col min="6669" max="6912" width="9.140625" style="4"/>
    <col min="6913" max="6913" width="4.85546875" style="4" customWidth="1"/>
    <col min="6914" max="6914" width="22.5703125" style="4" customWidth="1"/>
    <col min="6915" max="6915" width="7.7109375" style="4" customWidth="1"/>
    <col min="6916" max="6916" width="10.5703125" style="4" customWidth="1"/>
    <col min="6917" max="6917" width="8.28515625" style="4" customWidth="1"/>
    <col min="6918" max="6918" width="10" style="4" bestFit="1" customWidth="1"/>
    <col min="6919" max="6919" width="10.28515625" style="4" bestFit="1" customWidth="1"/>
    <col min="6920" max="6920" width="15" style="4" customWidth="1"/>
    <col min="6921" max="6921" width="11.7109375" style="4" customWidth="1"/>
    <col min="6922" max="6922" width="11.28515625" style="4" bestFit="1" customWidth="1"/>
    <col min="6923" max="6923" width="10.140625" style="4" bestFit="1" customWidth="1"/>
    <col min="6924" max="6924" width="11.28515625" style="4" customWidth="1"/>
    <col min="6925" max="7168" width="9.140625" style="4"/>
    <col min="7169" max="7169" width="4.85546875" style="4" customWidth="1"/>
    <col min="7170" max="7170" width="22.5703125" style="4" customWidth="1"/>
    <col min="7171" max="7171" width="7.7109375" style="4" customWidth="1"/>
    <col min="7172" max="7172" width="10.5703125" style="4" customWidth="1"/>
    <col min="7173" max="7173" width="8.28515625" style="4" customWidth="1"/>
    <col min="7174" max="7174" width="10" style="4" bestFit="1" customWidth="1"/>
    <col min="7175" max="7175" width="10.28515625" style="4" bestFit="1" customWidth="1"/>
    <col min="7176" max="7176" width="15" style="4" customWidth="1"/>
    <col min="7177" max="7177" width="11.7109375" style="4" customWidth="1"/>
    <col min="7178" max="7178" width="11.28515625" style="4" bestFit="1" customWidth="1"/>
    <col min="7179" max="7179" width="10.140625" style="4" bestFit="1" customWidth="1"/>
    <col min="7180" max="7180" width="11.28515625" style="4" customWidth="1"/>
    <col min="7181" max="7424" width="9.140625" style="4"/>
    <col min="7425" max="7425" width="4.85546875" style="4" customWidth="1"/>
    <col min="7426" max="7426" width="22.5703125" style="4" customWidth="1"/>
    <col min="7427" max="7427" width="7.7109375" style="4" customWidth="1"/>
    <col min="7428" max="7428" width="10.5703125" style="4" customWidth="1"/>
    <col min="7429" max="7429" width="8.28515625" style="4" customWidth="1"/>
    <col min="7430" max="7430" width="10" style="4" bestFit="1" customWidth="1"/>
    <col min="7431" max="7431" width="10.28515625" style="4" bestFit="1" customWidth="1"/>
    <col min="7432" max="7432" width="15" style="4" customWidth="1"/>
    <col min="7433" max="7433" width="11.7109375" style="4" customWidth="1"/>
    <col min="7434" max="7434" width="11.28515625" style="4" bestFit="1" customWidth="1"/>
    <col min="7435" max="7435" width="10.140625" style="4" bestFit="1" customWidth="1"/>
    <col min="7436" max="7436" width="11.28515625" style="4" customWidth="1"/>
    <col min="7437" max="7680" width="9.140625" style="4"/>
    <col min="7681" max="7681" width="4.85546875" style="4" customWidth="1"/>
    <col min="7682" max="7682" width="22.5703125" style="4" customWidth="1"/>
    <col min="7683" max="7683" width="7.7109375" style="4" customWidth="1"/>
    <col min="7684" max="7684" width="10.5703125" style="4" customWidth="1"/>
    <col min="7685" max="7685" width="8.28515625" style="4" customWidth="1"/>
    <col min="7686" max="7686" width="10" style="4" bestFit="1" customWidth="1"/>
    <col min="7687" max="7687" width="10.28515625" style="4" bestFit="1" customWidth="1"/>
    <col min="7688" max="7688" width="15" style="4" customWidth="1"/>
    <col min="7689" max="7689" width="11.7109375" style="4" customWidth="1"/>
    <col min="7690" max="7690" width="11.28515625" style="4" bestFit="1" customWidth="1"/>
    <col min="7691" max="7691" width="10.140625" style="4" bestFit="1" customWidth="1"/>
    <col min="7692" max="7692" width="11.28515625" style="4" customWidth="1"/>
    <col min="7693" max="7936" width="9.140625" style="4"/>
    <col min="7937" max="7937" width="4.85546875" style="4" customWidth="1"/>
    <col min="7938" max="7938" width="22.5703125" style="4" customWidth="1"/>
    <col min="7939" max="7939" width="7.7109375" style="4" customWidth="1"/>
    <col min="7940" max="7940" width="10.5703125" style="4" customWidth="1"/>
    <col min="7941" max="7941" width="8.28515625" style="4" customWidth="1"/>
    <col min="7942" max="7942" width="10" style="4" bestFit="1" customWidth="1"/>
    <col min="7943" max="7943" width="10.28515625" style="4" bestFit="1" customWidth="1"/>
    <col min="7944" max="7944" width="15" style="4" customWidth="1"/>
    <col min="7945" max="7945" width="11.7109375" style="4" customWidth="1"/>
    <col min="7946" max="7946" width="11.28515625" style="4" bestFit="1" customWidth="1"/>
    <col min="7947" max="7947" width="10.140625" style="4" bestFit="1" customWidth="1"/>
    <col min="7948" max="7948" width="11.28515625" style="4" customWidth="1"/>
    <col min="7949" max="8192" width="9.140625" style="4"/>
    <col min="8193" max="8193" width="4.85546875" style="4" customWidth="1"/>
    <col min="8194" max="8194" width="22.5703125" style="4" customWidth="1"/>
    <col min="8195" max="8195" width="7.7109375" style="4" customWidth="1"/>
    <col min="8196" max="8196" width="10.5703125" style="4" customWidth="1"/>
    <col min="8197" max="8197" width="8.28515625" style="4" customWidth="1"/>
    <col min="8198" max="8198" width="10" style="4" bestFit="1" customWidth="1"/>
    <col min="8199" max="8199" width="10.28515625" style="4" bestFit="1" customWidth="1"/>
    <col min="8200" max="8200" width="15" style="4" customWidth="1"/>
    <col min="8201" max="8201" width="11.7109375" style="4" customWidth="1"/>
    <col min="8202" max="8202" width="11.28515625" style="4" bestFit="1" customWidth="1"/>
    <col min="8203" max="8203" width="10.140625" style="4" bestFit="1" customWidth="1"/>
    <col min="8204" max="8204" width="11.28515625" style="4" customWidth="1"/>
    <col min="8205" max="8448" width="9.140625" style="4"/>
    <col min="8449" max="8449" width="4.85546875" style="4" customWidth="1"/>
    <col min="8450" max="8450" width="22.5703125" style="4" customWidth="1"/>
    <col min="8451" max="8451" width="7.7109375" style="4" customWidth="1"/>
    <col min="8452" max="8452" width="10.5703125" style="4" customWidth="1"/>
    <col min="8453" max="8453" width="8.28515625" style="4" customWidth="1"/>
    <col min="8454" max="8454" width="10" style="4" bestFit="1" customWidth="1"/>
    <col min="8455" max="8455" width="10.28515625" style="4" bestFit="1" customWidth="1"/>
    <col min="8456" max="8456" width="15" style="4" customWidth="1"/>
    <col min="8457" max="8457" width="11.7109375" style="4" customWidth="1"/>
    <col min="8458" max="8458" width="11.28515625" style="4" bestFit="1" customWidth="1"/>
    <col min="8459" max="8459" width="10.140625" style="4" bestFit="1" customWidth="1"/>
    <col min="8460" max="8460" width="11.28515625" style="4" customWidth="1"/>
    <col min="8461" max="8704" width="9.140625" style="4"/>
    <col min="8705" max="8705" width="4.85546875" style="4" customWidth="1"/>
    <col min="8706" max="8706" width="22.5703125" style="4" customWidth="1"/>
    <col min="8707" max="8707" width="7.7109375" style="4" customWidth="1"/>
    <col min="8708" max="8708" width="10.5703125" style="4" customWidth="1"/>
    <col min="8709" max="8709" width="8.28515625" style="4" customWidth="1"/>
    <col min="8710" max="8710" width="10" style="4" bestFit="1" customWidth="1"/>
    <col min="8711" max="8711" width="10.28515625" style="4" bestFit="1" customWidth="1"/>
    <col min="8712" max="8712" width="15" style="4" customWidth="1"/>
    <col min="8713" max="8713" width="11.7109375" style="4" customWidth="1"/>
    <col min="8714" max="8714" width="11.28515625" style="4" bestFit="1" customWidth="1"/>
    <col min="8715" max="8715" width="10.140625" style="4" bestFit="1" customWidth="1"/>
    <col min="8716" max="8716" width="11.28515625" style="4" customWidth="1"/>
    <col min="8717" max="8960" width="9.140625" style="4"/>
    <col min="8961" max="8961" width="4.85546875" style="4" customWidth="1"/>
    <col min="8962" max="8962" width="22.5703125" style="4" customWidth="1"/>
    <col min="8963" max="8963" width="7.7109375" style="4" customWidth="1"/>
    <col min="8964" max="8964" width="10.5703125" style="4" customWidth="1"/>
    <col min="8965" max="8965" width="8.28515625" style="4" customWidth="1"/>
    <col min="8966" max="8966" width="10" style="4" bestFit="1" customWidth="1"/>
    <col min="8967" max="8967" width="10.28515625" style="4" bestFit="1" customWidth="1"/>
    <col min="8968" max="8968" width="15" style="4" customWidth="1"/>
    <col min="8969" max="8969" width="11.7109375" style="4" customWidth="1"/>
    <col min="8970" max="8970" width="11.28515625" style="4" bestFit="1" customWidth="1"/>
    <col min="8971" max="8971" width="10.140625" style="4" bestFit="1" customWidth="1"/>
    <col min="8972" max="8972" width="11.28515625" style="4" customWidth="1"/>
    <col min="8973" max="9216" width="9.140625" style="4"/>
    <col min="9217" max="9217" width="4.85546875" style="4" customWidth="1"/>
    <col min="9218" max="9218" width="22.5703125" style="4" customWidth="1"/>
    <col min="9219" max="9219" width="7.7109375" style="4" customWidth="1"/>
    <col min="9220" max="9220" width="10.5703125" style="4" customWidth="1"/>
    <col min="9221" max="9221" width="8.28515625" style="4" customWidth="1"/>
    <col min="9222" max="9222" width="10" style="4" bestFit="1" customWidth="1"/>
    <col min="9223" max="9223" width="10.28515625" style="4" bestFit="1" customWidth="1"/>
    <col min="9224" max="9224" width="15" style="4" customWidth="1"/>
    <col min="9225" max="9225" width="11.7109375" style="4" customWidth="1"/>
    <col min="9226" max="9226" width="11.28515625" style="4" bestFit="1" customWidth="1"/>
    <col min="9227" max="9227" width="10.140625" style="4" bestFit="1" customWidth="1"/>
    <col min="9228" max="9228" width="11.28515625" style="4" customWidth="1"/>
    <col min="9229" max="9472" width="9.140625" style="4"/>
    <col min="9473" max="9473" width="4.85546875" style="4" customWidth="1"/>
    <col min="9474" max="9474" width="22.5703125" style="4" customWidth="1"/>
    <col min="9475" max="9475" width="7.7109375" style="4" customWidth="1"/>
    <col min="9476" max="9476" width="10.5703125" style="4" customWidth="1"/>
    <col min="9477" max="9477" width="8.28515625" style="4" customWidth="1"/>
    <col min="9478" max="9478" width="10" style="4" bestFit="1" customWidth="1"/>
    <col min="9479" max="9479" width="10.28515625" style="4" bestFit="1" customWidth="1"/>
    <col min="9480" max="9480" width="15" style="4" customWidth="1"/>
    <col min="9481" max="9481" width="11.7109375" style="4" customWidth="1"/>
    <col min="9482" max="9482" width="11.28515625" style="4" bestFit="1" customWidth="1"/>
    <col min="9483" max="9483" width="10.140625" style="4" bestFit="1" customWidth="1"/>
    <col min="9484" max="9484" width="11.28515625" style="4" customWidth="1"/>
    <col min="9485" max="9728" width="9.140625" style="4"/>
    <col min="9729" max="9729" width="4.85546875" style="4" customWidth="1"/>
    <col min="9730" max="9730" width="22.5703125" style="4" customWidth="1"/>
    <col min="9731" max="9731" width="7.7109375" style="4" customWidth="1"/>
    <col min="9732" max="9732" width="10.5703125" style="4" customWidth="1"/>
    <col min="9733" max="9733" width="8.28515625" style="4" customWidth="1"/>
    <col min="9734" max="9734" width="10" style="4" bestFit="1" customWidth="1"/>
    <col min="9735" max="9735" width="10.28515625" style="4" bestFit="1" customWidth="1"/>
    <col min="9736" max="9736" width="15" style="4" customWidth="1"/>
    <col min="9737" max="9737" width="11.7109375" style="4" customWidth="1"/>
    <col min="9738" max="9738" width="11.28515625" style="4" bestFit="1" customWidth="1"/>
    <col min="9739" max="9739" width="10.140625" style="4" bestFit="1" customWidth="1"/>
    <col min="9740" max="9740" width="11.28515625" style="4" customWidth="1"/>
    <col min="9741" max="9984" width="9.140625" style="4"/>
    <col min="9985" max="9985" width="4.85546875" style="4" customWidth="1"/>
    <col min="9986" max="9986" width="22.5703125" style="4" customWidth="1"/>
    <col min="9987" max="9987" width="7.7109375" style="4" customWidth="1"/>
    <col min="9988" max="9988" width="10.5703125" style="4" customWidth="1"/>
    <col min="9989" max="9989" width="8.28515625" style="4" customWidth="1"/>
    <col min="9990" max="9990" width="10" style="4" bestFit="1" customWidth="1"/>
    <col min="9991" max="9991" width="10.28515625" style="4" bestFit="1" customWidth="1"/>
    <col min="9992" max="9992" width="15" style="4" customWidth="1"/>
    <col min="9993" max="9993" width="11.7109375" style="4" customWidth="1"/>
    <col min="9994" max="9994" width="11.28515625" style="4" bestFit="1" customWidth="1"/>
    <col min="9995" max="9995" width="10.140625" style="4" bestFit="1" customWidth="1"/>
    <col min="9996" max="9996" width="11.28515625" style="4" customWidth="1"/>
    <col min="9997" max="10240" width="9.140625" style="4"/>
    <col min="10241" max="10241" width="4.85546875" style="4" customWidth="1"/>
    <col min="10242" max="10242" width="22.5703125" style="4" customWidth="1"/>
    <col min="10243" max="10243" width="7.7109375" style="4" customWidth="1"/>
    <col min="10244" max="10244" width="10.5703125" style="4" customWidth="1"/>
    <col min="10245" max="10245" width="8.28515625" style="4" customWidth="1"/>
    <col min="10246" max="10246" width="10" style="4" bestFit="1" customWidth="1"/>
    <col min="10247" max="10247" width="10.28515625" style="4" bestFit="1" customWidth="1"/>
    <col min="10248" max="10248" width="15" style="4" customWidth="1"/>
    <col min="10249" max="10249" width="11.7109375" style="4" customWidth="1"/>
    <col min="10250" max="10250" width="11.28515625" style="4" bestFit="1" customWidth="1"/>
    <col min="10251" max="10251" width="10.140625" style="4" bestFit="1" customWidth="1"/>
    <col min="10252" max="10252" width="11.28515625" style="4" customWidth="1"/>
    <col min="10253" max="10496" width="9.140625" style="4"/>
    <col min="10497" max="10497" width="4.85546875" style="4" customWidth="1"/>
    <col min="10498" max="10498" width="22.5703125" style="4" customWidth="1"/>
    <col min="10499" max="10499" width="7.7109375" style="4" customWidth="1"/>
    <col min="10500" max="10500" width="10.5703125" style="4" customWidth="1"/>
    <col min="10501" max="10501" width="8.28515625" style="4" customWidth="1"/>
    <col min="10502" max="10502" width="10" style="4" bestFit="1" customWidth="1"/>
    <col min="10503" max="10503" width="10.28515625" style="4" bestFit="1" customWidth="1"/>
    <col min="10504" max="10504" width="15" style="4" customWidth="1"/>
    <col min="10505" max="10505" width="11.7109375" style="4" customWidth="1"/>
    <col min="10506" max="10506" width="11.28515625" style="4" bestFit="1" customWidth="1"/>
    <col min="10507" max="10507" width="10.140625" style="4" bestFit="1" customWidth="1"/>
    <col min="10508" max="10508" width="11.28515625" style="4" customWidth="1"/>
    <col min="10509" max="10752" width="9.140625" style="4"/>
    <col min="10753" max="10753" width="4.85546875" style="4" customWidth="1"/>
    <col min="10754" max="10754" width="22.5703125" style="4" customWidth="1"/>
    <col min="10755" max="10755" width="7.7109375" style="4" customWidth="1"/>
    <col min="10756" max="10756" width="10.5703125" style="4" customWidth="1"/>
    <col min="10757" max="10757" width="8.28515625" style="4" customWidth="1"/>
    <col min="10758" max="10758" width="10" style="4" bestFit="1" customWidth="1"/>
    <col min="10759" max="10759" width="10.28515625" style="4" bestFit="1" customWidth="1"/>
    <col min="10760" max="10760" width="15" style="4" customWidth="1"/>
    <col min="10761" max="10761" width="11.7109375" style="4" customWidth="1"/>
    <col min="10762" max="10762" width="11.28515625" style="4" bestFit="1" customWidth="1"/>
    <col min="10763" max="10763" width="10.140625" style="4" bestFit="1" customWidth="1"/>
    <col min="10764" max="10764" width="11.28515625" style="4" customWidth="1"/>
    <col min="10765" max="11008" width="9.140625" style="4"/>
    <col min="11009" max="11009" width="4.85546875" style="4" customWidth="1"/>
    <col min="11010" max="11010" width="22.5703125" style="4" customWidth="1"/>
    <col min="11011" max="11011" width="7.7109375" style="4" customWidth="1"/>
    <col min="11012" max="11012" width="10.5703125" style="4" customWidth="1"/>
    <col min="11013" max="11013" width="8.28515625" style="4" customWidth="1"/>
    <col min="11014" max="11014" width="10" style="4" bestFit="1" customWidth="1"/>
    <col min="11015" max="11015" width="10.28515625" style="4" bestFit="1" customWidth="1"/>
    <col min="11016" max="11016" width="15" style="4" customWidth="1"/>
    <col min="11017" max="11017" width="11.7109375" style="4" customWidth="1"/>
    <col min="11018" max="11018" width="11.28515625" style="4" bestFit="1" customWidth="1"/>
    <col min="11019" max="11019" width="10.140625" style="4" bestFit="1" customWidth="1"/>
    <col min="11020" max="11020" width="11.28515625" style="4" customWidth="1"/>
    <col min="11021" max="11264" width="9.140625" style="4"/>
    <col min="11265" max="11265" width="4.85546875" style="4" customWidth="1"/>
    <col min="11266" max="11266" width="22.5703125" style="4" customWidth="1"/>
    <col min="11267" max="11267" width="7.7109375" style="4" customWidth="1"/>
    <col min="11268" max="11268" width="10.5703125" style="4" customWidth="1"/>
    <col min="11269" max="11269" width="8.28515625" style="4" customWidth="1"/>
    <col min="11270" max="11270" width="10" style="4" bestFit="1" customWidth="1"/>
    <col min="11271" max="11271" width="10.28515625" style="4" bestFit="1" customWidth="1"/>
    <col min="11272" max="11272" width="15" style="4" customWidth="1"/>
    <col min="11273" max="11273" width="11.7109375" style="4" customWidth="1"/>
    <col min="11274" max="11274" width="11.28515625" style="4" bestFit="1" customWidth="1"/>
    <col min="11275" max="11275" width="10.140625" style="4" bestFit="1" customWidth="1"/>
    <col min="11276" max="11276" width="11.28515625" style="4" customWidth="1"/>
    <col min="11277" max="11520" width="9.140625" style="4"/>
    <col min="11521" max="11521" width="4.85546875" style="4" customWidth="1"/>
    <col min="11522" max="11522" width="22.5703125" style="4" customWidth="1"/>
    <col min="11523" max="11523" width="7.7109375" style="4" customWidth="1"/>
    <col min="11524" max="11524" width="10.5703125" style="4" customWidth="1"/>
    <col min="11525" max="11525" width="8.28515625" style="4" customWidth="1"/>
    <col min="11526" max="11526" width="10" style="4" bestFit="1" customWidth="1"/>
    <col min="11527" max="11527" width="10.28515625" style="4" bestFit="1" customWidth="1"/>
    <col min="11528" max="11528" width="15" style="4" customWidth="1"/>
    <col min="11529" max="11529" width="11.7109375" style="4" customWidth="1"/>
    <col min="11530" max="11530" width="11.28515625" style="4" bestFit="1" customWidth="1"/>
    <col min="11531" max="11531" width="10.140625" style="4" bestFit="1" customWidth="1"/>
    <col min="11532" max="11532" width="11.28515625" style="4" customWidth="1"/>
    <col min="11533" max="11776" width="9.140625" style="4"/>
    <col min="11777" max="11777" width="4.85546875" style="4" customWidth="1"/>
    <col min="11778" max="11778" width="22.5703125" style="4" customWidth="1"/>
    <col min="11779" max="11779" width="7.7109375" style="4" customWidth="1"/>
    <col min="11780" max="11780" width="10.5703125" style="4" customWidth="1"/>
    <col min="11781" max="11781" width="8.28515625" style="4" customWidth="1"/>
    <col min="11782" max="11782" width="10" style="4" bestFit="1" customWidth="1"/>
    <col min="11783" max="11783" width="10.28515625" style="4" bestFit="1" customWidth="1"/>
    <col min="11784" max="11784" width="15" style="4" customWidth="1"/>
    <col min="11785" max="11785" width="11.7109375" style="4" customWidth="1"/>
    <col min="11786" max="11786" width="11.28515625" style="4" bestFit="1" customWidth="1"/>
    <col min="11787" max="11787" width="10.140625" style="4" bestFit="1" customWidth="1"/>
    <col min="11788" max="11788" width="11.28515625" style="4" customWidth="1"/>
    <col min="11789" max="12032" width="9.140625" style="4"/>
    <col min="12033" max="12033" width="4.85546875" style="4" customWidth="1"/>
    <col min="12034" max="12034" width="22.5703125" style="4" customWidth="1"/>
    <col min="12035" max="12035" width="7.7109375" style="4" customWidth="1"/>
    <col min="12036" max="12036" width="10.5703125" style="4" customWidth="1"/>
    <col min="12037" max="12037" width="8.28515625" style="4" customWidth="1"/>
    <col min="12038" max="12038" width="10" style="4" bestFit="1" customWidth="1"/>
    <col min="12039" max="12039" width="10.28515625" style="4" bestFit="1" customWidth="1"/>
    <col min="12040" max="12040" width="15" style="4" customWidth="1"/>
    <col min="12041" max="12041" width="11.7109375" style="4" customWidth="1"/>
    <col min="12042" max="12042" width="11.28515625" style="4" bestFit="1" customWidth="1"/>
    <col min="12043" max="12043" width="10.140625" style="4" bestFit="1" customWidth="1"/>
    <col min="12044" max="12044" width="11.28515625" style="4" customWidth="1"/>
    <col min="12045" max="12288" width="9.140625" style="4"/>
    <col min="12289" max="12289" width="4.85546875" style="4" customWidth="1"/>
    <col min="12290" max="12290" width="22.5703125" style="4" customWidth="1"/>
    <col min="12291" max="12291" width="7.7109375" style="4" customWidth="1"/>
    <col min="12292" max="12292" width="10.5703125" style="4" customWidth="1"/>
    <col min="12293" max="12293" width="8.28515625" style="4" customWidth="1"/>
    <col min="12294" max="12294" width="10" style="4" bestFit="1" customWidth="1"/>
    <col min="12295" max="12295" width="10.28515625" style="4" bestFit="1" customWidth="1"/>
    <col min="12296" max="12296" width="15" style="4" customWidth="1"/>
    <col min="12297" max="12297" width="11.7109375" style="4" customWidth="1"/>
    <col min="12298" max="12298" width="11.28515625" style="4" bestFit="1" customWidth="1"/>
    <col min="12299" max="12299" width="10.140625" style="4" bestFit="1" customWidth="1"/>
    <col min="12300" max="12300" width="11.28515625" style="4" customWidth="1"/>
    <col min="12301" max="12544" width="9.140625" style="4"/>
    <col min="12545" max="12545" width="4.85546875" style="4" customWidth="1"/>
    <col min="12546" max="12546" width="22.5703125" style="4" customWidth="1"/>
    <col min="12547" max="12547" width="7.7109375" style="4" customWidth="1"/>
    <col min="12548" max="12548" width="10.5703125" style="4" customWidth="1"/>
    <col min="12549" max="12549" width="8.28515625" style="4" customWidth="1"/>
    <col min="12550" max="12550" width="10" style="4" bestFit="1" customWidth="1"/>
    <col min="12551" max="12551" width="10.28515625" style="4" bestFit="1" customWidth="1"/>
    <col min="12552" max="12552" width="15" style="4" customWidth="1"/>
    <col min="12553" max="12553" width="11.7109375" style="4" customWidth="1"/>
    <col min="12554" max="12554" width="11.28515625" style="4" bestFit="1" customWidth="1"/>
    <col min="12555" max="12555" width="10.140625" style="4" bestFit="1" customWidth="1"/>
    <col min="12556" max="12556" width="11.28515625" style="4" customWidth="1"/>
    <col min="12557" max="12800" width="9.140625" style="4"/>
    <col min="12801" max="12801" width="4.85546875" style="4" customWidth="1"/>
    <col min="12802" max="12802" width="22.5703125" style="4" customWidth="1"/>
    <col min="12803" max="12803" width="7.7109375" style="4" customWidth="1"/>
    <col min="12804" max="12804" width="10.5703125" style="4" customWidth="1"/>
    <col min="12805" max="12805" width="8.28515625" style="4" customWidth="1"/>
    <col min="12806" max="12806" width="10" style="4" bestFit="1" customWidth="1"/>
    <col min="12807" max="12807" width="10.28515625" style="4" bestFit="1" customWidth="1"/>
    <col min="12808" max="12808" width="15" style="4" customWidth="1"/>
    <col min="12809" max="12809" width="11.7109375" style="4" customWidth="1"/>
    <col min="12810" max="12810" width="11.28515625" style="4" bestFit="1" customWidth="1"/>
    <col min="12811" max="12811" width="10.140625" style="4" bestFit="1" customWidth="1"/>
    <col min="12812" max="12812" width="11.28515625" style="4" customWidth="1"/>
    <col min="12813" max="13056" width="9.140625" style="4"/>
    <col min="13057" max="13057" width="4.85546875" style="4" customWidth="1"/>
    <col min="13058" max="13058" width="22.5703125" style="4" customWidth="1"/>
    <col min="13059" max="13059" width="7.7109375" style="4" customWidth="1"/>
    <col min="13060" max="13060" width="10.5703125" style="4" customWidth="1"/>
    <col min="13061" max="13061" width="8.28515625" style="4" customWidth="1"/>
    <col min="13062" max="13062" width="10" style="4" bestFit="1" customWidth="1"/>
    <col min="13063" max="13063" width="10.28515625" style="4" bestFit="1" customWidth="1"/>
    <col min="13064" max="13064" width="15" style="4" customWidth="1"/>
    <col min="13065" max="13065" width="11.7109375" style="4" customWidth="1"/>
    <col min="13066" max="13066" width="11.28515625" style="4" bestFit="1" customWidth="1"/>
    <col min="13067" max="13067" width="10.140625" style="4" bestFit="1" customWidth="1"/>
    <col min="13068" max="13068" width="11.28515625" style="4" customWidth="1"/>
    <col min="13069" max="13312" width="9.140625" style="4"/>
    <col min="13313" max="13313" width="4.85546875" style="4" customWidth="1"/>
    <col min="13314" max="13314" width="22.5703125" style="4" customWidth="1"/>
    <col min="13315" max="13315" width="7.7109375" style="4" customWidth="1"/>
    <col min="13316" max="13316" width="10.5703125" style="4" customWidth="1"/>
    <col min="13317" max="13317" width="8.28515625" style="4" customWidth="1"/>
    <col min="13318" max="13318" width="10" style="4" bestFit="1" customWidth="1"/>
    <col min="13319" max="13319" width="10.28515625" style="4" bestFit="1" customWidth="1"/>
    <col min="13320" max="13320" width="15" style="4" customWidth="1"/>
    <col min="13321" max="13321" width="11.7109375" style="4" customWidth="1"/>
    <col min="13322" max="13322" width="11.28515625" style="4" bestFit="1" customWidth="1"/>
    <col min="13323" max="13323" width="10.140625" style="4" bestFit="1" customWidth="1"/>
    <col min="13324" max="13324" width="11.28515625" style="4" customWidth="1"/>
    <col min="13325" max="13568" width="9.140625" style="4"/>
    <col min="13569" max="13569" width="4.85546875" style="4" customWidth="1"/>
    <col min="13570" max="13570" width="22.5703125" style="4" customWidth="1"/>
    <col min="13571" max="13571" width="7.7109375" style="4" customWidth="1"/>
    <col min="13572" max="13572" width="10.5703125" style="4" customWidth="1"/>
    <col min="13573" max="13573" width="8.28515625" style="4" customWidth="1"/>
    <col min="13574" max="13574" width="10" style="4" bestFit="1" customWidth="1"/>
    <col min="13575" max="13575" width="10.28515625" style="4" bestFit="1" customWidth="1"/>
    <col min="13576" max="13576" width="15" style="4" customWidth="1"/>
    <col min="13577" max="13577" width="11.7109375" style="4" customWidth="1"/>
    <col min="13578" max="13578" width="11.28515625" style="4" bestFit="1" customWidth="1"/>
    <col min="13579" max="13579" width="10.140625" style="4" bestFit="1" customWidth="1"/>
    <col min="13580" max="13580" width="11.28515625" style="4" customWidth="1"/>
    <col min="13581" max="13824" width="9.140625" style="4"/>
    <col min="13825" max="13825" width="4.85546875" style="4" customWidth="1"/>
    <col min="13826" max="13826" width="22.5703125" style="4" customWidth="1"/>
    <col min="13827" max="13827" width="7.7109375" style="4" customWidth="1"/>
    <col min="13828" max="13828" width="10.5703125" style="4" customWidth="1"/>
    <col min="13829" max="13829" width="8.28515625" style="4" customWidth="1"/>
    <col min="13830" max="13830" width="10" style="4" bestFit="1" customWidth="1"/>
    <col min="13831" max="13831" width="10.28515625" style="4" bestFit="1" customWidth="1"/>
    <col min="13832" max="13832" width="15" style="4" customWidth="1"/>
    <col min="13833" max="13833" width="11.7109375" style="4" customWidth="1"/>
    <col min="13834" max="13834" width="11.28515625" style="4" bestFit="1" customWidth="1"/>
    <col min="13835" max="13835" width="10.140625" style="4" bestFit="1" customWidth="1"/>
    <col min="13836" max="13836" width="11.28515625" style="4" customWidth="1"/>
    <col min="13837" max="14080" width="9.140625" style="4"/>
    <col min="14081" max="14081" width="4.85546875" style="4" customWidth="1"/>
    <col min="14082" max="14082" width="22.5703125" style="4" customWidth="1"/>
    <col min="14083" max="14083" width="7.7109375" style="4" customWidth="1"/>
    <col min="14084" max="14084" width="10.5703125" style="4" customWidth="1"/>
    <col min="14085" max="14085" width="8.28515625" style="4" customWidth="1"/>
    <col min="14086" max="14086" width="10" style="4" bestFit="1" customWidth="1"/>
    <col min="14087" max="14087" width="10.28515625" style="4" bestFit="1" customWidth="1"/>
    <col min="14088" max="14088" width="15" style="4" customWidth="1"/>
    <col min="14089" max="14089" width="11.7109375" style="4" customWidth="1"/>
    <col min="14090" max="14090" width="11.28515625" style="4" bestFit="1" customWidth="1"/>
    <col min="14091" max="14091" width="10.140625" style="4" bestFit="1" customWidth="1"/>
    <col min="14092" max="14092" width="11.28515625" style="4" customWidth="1"/>
    <col min="14093" max="14336" width="9.140625" style="4"/>
    <col min="14337" max="14337" width="4.85546875" style="4" customWidth="1"/>
    <col min="14338" max="14338" width="22.5703125" style="4" customWidth="1"/>
    <col min="14339" max="14339" width="7.7109375" style="4" customWidth="1"/>
    <col min="14340" max="14340" width="10.5703125" style="4" customWidth="1"/>
    <col min="14341" max="14341" width="8.28515625" style="4" customWidth="1"/>
    <col min="14342" max="14342" width="10" style="4" bestFit="1" customWidth="1"/>
    <col min="14343" max="14343" width="10.28515625" style="4" bestFit="1" customWidth="1"/>
    <col min="14344" max="14344" width="15" style="4" customWidth="1"/>
    <col min="14345" max="14345" width="11.7109375" style="4" customWidth="1"/>
    <col min="14346" max="14346" width="11.28515625" style="4" bestFit="1" customWidth="1"/>
    <col min="14347" max="14347" width="10.140625" style="4" bestFit="1" customWidth="1"/>
    <col min="14348" max="14348" width="11.28515625" style="4" customWidth="1"/>
    <col min="14349" max="14592" width="9.140625" style="4"/>
    <col min="14593" max="14593" width="4.85546875" style="4" customWidth="1"/>
    <col min="14594" max="14594" width="22.5703125" style="4" customWidth="1"/>
    <col min="14595" max="14595" width="7.7109375" style="4" customWidth="1"/>
    <col min="14596" max="14596" width="10.5703125" style="4" customWidth="1"/>
    <col min="14597" max="14597" width="8.28515625" style="4" customWidth="1"/>
    <col min="14598" max="14598" width="10" style="4" bestFit="1" customWidth="1"/>
    <col min="14599" max="14599" width="10.28515625" style="4" bestFit="1" customWidth="1"/>
    <col min="14600" max="14600" width="15" style="4" customWidth="1"/>
    <col min="14601" max="14601" width="11.7109375" style="4" customWidth="1"/>
    <col min="14602" max="14602" width="11.28515625" style="4" bestFit="1" customWidth="1"/>
    <col min="14603" max="14603" width="10.140625" style="4" bestFit="1" customWidth="1"/>
    <col min="14604" max="14604" width="11.28515625" style="4" customWidth="1"/>
    <col min="14605" max="14848" width="9.140625" style="4"/>
    <col min="14849" max="14849" width="4.85546875" style="4" customWidth="1"/>
    <col min="14850" max="14850" width="22.5703125" style="4" customWidth="1"/>
    <col min="14851" max="14851" width="7.7109375" style="4" customWidth="1"/>
    <col min="14852" max="14852" width="10.5703125" style="4" customWidth="1"/>
    <col min="14853" max="14853" width="8.28515625" style="4" customWidth="1"/>
    <col min="14854" max="14854" width="10" style="4" bestFit="1" customWidth="1"/>
    <col min="14855" max="14855" width="10.28515625" style="4" bestFit="1" customWidth="1"/>
    <col min="14856" max="14856" width="15" style="4" customWidth="1"/>
    <col min="14857" max="14857" width="11.7109375" style="4" customWidth="1"/>
    <col min="14858" max="14858" width="11.28515625" style="4" bestFit="1" customWidth="1"/>
    <col min="14859" max="14859" width="10.140625" style="4" bestFit="1" customWidth="1"/>
    <col min="14860" max="14860" width="11.28515625" style="4" customWidth="1"/>
    <col min="14861" max="15104" width="9.140625" style="4"/>
    <col min="15105" max="15105" width="4.85546875" style="4" customWidth="1"/>
    <col min="15106" max="15106" width="22.5703125" style="4" customWidth="1"/>
    <col min="15107" max="15107" width="7.7109375" style="4" customWidth="1"/>
    <col min="15108" max="15108" width="10.5703125" style="4" customWidth="1"/>
    <col min="15109" max="15109" width="8.28515625" style="4" customWidth="1"/>
    <col min="15110" max="15110" width="10" style="4" bestFit="1" customWidth="1"/>
    <col min="15111" max="15111" width="10.28515625" style="4" bestFit="1" customWidth="1"/>
    <col min="15112" max="15112" width="15" style="4" customWidth="1"/>
    <col min="15113" max="15113" width="11.7109375" style="4" customWidth="1"/>
    <col min="15114" max="15114" width="11.28515625" style="4" bestFit="1" customWidth="1"/>
    <col min="15115" max="15115" width="10.140625" style="4" bestFit="1" customWidth="1"/>
    <col min="15116" max="15116" width="11.28515625" style="4" customWidth="1"/>
    <col min="15117" max="15360" width="9.140625" style="4"/>
    <col min="15361" max="15361" width="4.85546875" style="4" customWidth="1"/>
    <col min="15362" max="15362" width="22.5703125" style="4" customWidth="1"/>
    <col min="15363" max="15363" width="7.7109375" style="4" customWidth="1"/>
    <col min="15364" max="15364" width="10.5703125" style="4" customWidth="1"/>
    <col min="15365" max="15365" width="8.28515625" style="4" customWidth="1"/>
    <col min="15366" max="15366" width="10" style="4" bestFit="1" customWidth="1"/>
    <col min="15367" max="15367" width="10.28515625" style="4" bestFit="1" customWidth="1"/>
    <col min="15368" max="15368" width="15" style="4" customWidth="1"/>
    <col min="15369" max="15369" width="11.7109375" style="4" customWidth="1"/>
    <col min="15370" max="15370" width="11.28515625" style="4" bestFit="1" customWidth="1"/>
    <col min="15371" max="15371" width="10.140625" style="4" bestFit="1" customWidth="1"/>
    <col min="15372" max="15372" width="11.28515625" style="4" customWidth="1"/>
    <col min="15373" max="15616" width="9.140625" style="4"/>
    <col min="15617" max="15617" width="4.85546875" style="4" customWidth="1"/>
    <col min="15618" max="15618" width="22.5703125" style="4" customWidth="1"/>
    <col min="15619" max="15619" width="7.7109375" style="4" customWidth="1"/>
    <col min="15620" max="15620" width="10.5703125" style="4" customWidth="1"/>
    <col min="15621" max="15621" width="8.28515625" style="4" customWidth="1"/>
    <col min="15622" max="15622" width="10" style="4" bestFit="1" customWidth="1"/>
    <col min="15623" max="15623" width="10.28515625" style="4" bestFit="1" customWidth="1"/>
    <col min="15624" max="15624" width="15" style="4" customWidth="1"/>
    <col min="15625" max="15625" width="11.7109375" style="4" customWidth="1"/>
    <col min="15626" max="15626" width="11.28515625" style="4" bestFit="1" customWidth="1"/>
    <col min="15627" max="15627" width="10.140625" style="4" bestFit="1" customWidth="1"/>
    <col min="15628" max="15628" width="11.28515625" style="4" customWidth="1"/>
    <col min="15629" max="15872" width="9.140625" style="4"/>
    <col min="15873" max="15873" width="4.85546875" style="4" customWidth="1"/>
    <col min="15874" max="15874" width="22.5703125" style="4" customWidth="1"/>
    <col min="15875" max="15875" width="7.7109375" style="4" customWidth="1"/>
    <col min="15876" max="15876" width="10.5703125" style="4" customWidth="1"/>
    <col min="15877" max="15877" width="8.28515625" style="4" customWidth="1"/>
    <col min="15878" max="15878" width="10" style="4" bestFit="1" customWidth="1"/>
    <col min="15879" max="15879" width="10.28515625" style="4" bestFit="1" customWidth="1"/>
    <col min="15880" max="15880" width="15" style="4" customWidth="1"/>
    <col min="15881" max="15881" width="11.7109375" style="4" customWidth="1"/>
    <col min="15882" max="15882" width="11.28515625" style="4" bestFit="1" customWidth="1"/>
    <col min="15883" max="15883" width="10.140625" style="4" bestFit="1" customWidth="1"/>
    <col min="15884" max="15884" width="11.28515625" style="4" customWidth="1"/>
    <col min="15885" max="16128" width="9.140625" style="4"/>
    <col min="16129" max="16129" width="4.85546875" style="4" customWidth="1"/>
    <col min="16130" max="16130" width="22.5703125" style="4" customWidth="1"/>
    <col min="16131" max="16131" width="7.7109375" style="4" customWidth="1"/>
    <col min="16132" max="16132" width="10.5703125" style="4" customWidth="1"/>
    <col min="16133" max="16133" width="8.28515625" style="4" customWidth="1"/>
    <col min="16134" max="16134" width="10" style="4" bestFit="1" customWidth="1"/>
    <col min="16135" max="16135" width="10.28515625" style="4" bestFit="1" customWidth="1"/>
    <col min="16136" max="16136" width="15" style="4" customWidth="1"/>
    <col min="16137" max="16137" width="11.7109375" style="4" customWidth="1"/>
    <col min="16138" max="16138" width="11.28515625" style="4" bestFit="1" customWidth="1"/>
    <col min="16139" max="16139" width="10.140625" style="4" bestFit="1" customWidth="1"/>
    <col min="16140" max="16140" width="11.28515625" style="4" customWidth="1"/>
    <col min="16141" max="16384" width="9.140625" style="4"/>
  </cols>
  <sheetData>
    <row r="1" spans="1:15" ht="12.75" customHeight="1">
      <c r="A1" s="3" t="s">
        <v>7</v>
      </c>
      <c r="C1" s="5"/>
      <c r="E1" s="6" t="s">
        <v>8</v>
      </c>
      <c r="F1" s="83" t="s">
        <v>50</v>
      </c>
      <c r="G1" s="83"/>
      <c r="H1" s="83"/>
      <c r="I1" s="83"/>
      <c r="J1" s="82"/>
    </row>
    <row r="2" spans="1:15">
      <c r="A2" s="3" t="s">
        <v>9</v>
      </c>
      <c r="C2" s="5"/>
      <c r="E2" s="7"/>
      <c r="F2" s="83"/>
      <c r="G2" s="83"/>
      <c r="H2" s="83"/>
      <c r="I2" s="83"/>
      <c r="J2" s="82"/>
    </row>
    <row r="3" spans="1:15" ht="12.75" customHeight="1">
      <c r="A3" s="3" t="s">
        <v>34</v>
      </c>
      <c r="C3" s="5"/>
      <c r="E3" s="7"/>
      <c r="F3" s="83"/>
      <c r="G3" s="83"/>
      <c r="H3" s="83"/>
      <c r="I3" s="83"/>
      <c r="J3" s="82"/>
    </row>
    <row r="4" spans="1:15">
      <c r="A4" s="3" t="s">
        <v>35</v>
      </c>
      <c r="C4" s="5"/>
      <c r="F4" s="83"/>
      <c r="G4" s="83"/>
      <c r="H4" s="83"/>
      <c r="I4" s="83"/>
    </row>
    <row r="5" spans="1:15">
      <c r="A5" s="3" t="s">
        <v>36</v>
      </c>
      <c r="C5" s="5"/>
      <c r="E5" s="6" t="s">
        <v>10</v>
      </c>
      <c r="F5" s="8">
        <v>110000</v>
      </c>
      <c r="G5" s="51" t="s">
        <v>11</v>
      </c>
      <c r="I5" s="82"/>
      <c r="J5" s="50"/>
    </row>
    <row r="6" spans="1:15">
      <c r="A6" s="3" t="s">
        <v>37</v>
      </c>
      <c r="C6" s="5"/>
      <c r="I6" s="11"/>
      <c r="J6" s="50"/>
    </row>
    <row r="7" spans="1:15">
      <c r="A7" s="3" t="s">
        <v>38</v>
      </c>
      <c r="C7" s="5"/>
      <c r="F7" s="9"/>
      <c r="G7" s="48"/>
      <c r="H7" s="10"/>
      <c r="I7" s="11"/>
      <c r="J7" s="50"/>
    </row>
    <row r="8" spans="1:15" ht="15.75">
      <c r="A8" s="89" t="s">
        <v>12</v>
      </c>
      <c r="B8" s="89"/>
      <c r="C8" s="89"/>
      <c r="D8" s="89"/>
      <c r="E8" s="89"/>
      <c r="F8" s="89"/>
      <c r="G8" s="89"/>
      <c r="H8" s="89"/>
      <c r="I8" s="89"/>
      <c r="J8" s="50"/>
      <c r="K8" s="88" t="s">
        <v>96</v>
      </c>
      <c r="L8" s="88"/>
      <c r="M8" s="88"/>
      <c r="N8" s="88"/>
      <c r="O8" s="88"/>
    </row>
    <row r="9" spans="1:15">
      <c r="A9" s="13"/>
      <c r="B9" s="14"/>
      <c r="C9" s="5"/>
      <c r="D9" s="9"/>
      <c r="E9" s="9"/>
      <c r="F9" s="15"/>
      <c r="G9" s="11"/>
      <c r="H9" s="11"/>
      <c r="I9" s="50"/>
      <c r="J9" s="50"/>
      <c r="K9" s="24"/>
      <c r="L9" s="61"/>
      <c r="M9" s="61"/>
      <c r="N9" s="61"/>
      <c r="O9" s="61"/>
    </row>
    <row r="10" spans="1:15" ht="19.5" customHeight="1">
      <c r="A10" s="90" t="s">
        <v>13</v>
      </c>
      <c r="B10" s="92" t="s">
        <v>14</v>
      </c>
      <c r="C10" s="94" t="s">
        <v>15</v>
      </c>
      <c r="D10" s="92" t="s">
        <v>16</v>
      </c>
      <c r="E10" s="92" t="s">
        <v>17</v>
      </c>
      <c r="F10" s="95" t="s">
        <v>18</v>
      </c>
      <c r="G10" s="95" t="s">
        <v>19</v>
      </c>
      <c r="H10" s="98" t="s">
        <v>20</v>
      </c>
      <c r="I10" s="99"/>
      <c r="L10" s="84" t="s">
        <v>18</v>
      </c>
      <c r="N10" s="84" t="s">
        <v>19</v>
      </c>
      <c r="O10" s="61"/>
    </row>
    <row r="11" spans="1:15" ht="18.75" customHeight="1">
      <c r="A11" s="91"/>
      <c r="B11" s="93"/>
      <c r="C11" s="93"/>
      <c r="D11" s="93"/>
      <c r="E11" s="93"/>
      <c r="F11" s="96"/>
      <c r="G11" s="97"/>
      <c r="H11" s="52" t="s">
        <v>21</v>
      </c>
      <c r="I11" s="53" t="s">
        <v>22</v>
      </c>
      <c r="L11" s="84"/>
      <c r="N11" s="85"/>
      <c r="O11" s="61"/>
    </row>
    <row r="12" spans="1:15">
      <c r="A12" s="16" t="s">
        <v>54</v>
      </c>
      <c r="B12" s="17"/>
      <c r="C12" s="17"/>
      <c r="D12" s="17"/>
      <c r="E12" s="17"/>
      <c r="F12" s="45"/>
      <c r="G12" s="49"/>
      <c r="H12" s="54"/>
      <c r="I12" s="54"/>
      <c r="K12" s="24"/>
      <c r="L12" s="61"/>
      <c r="M12" s="61"/>
      <c r="N12" s="61"/>
      <c r="O12" s="61"/>
    </row>
    <row r="13" spans="1:15" ht="24">
      <c r="A13" s="63">
        <v>1</v>
      </c>
      <c r="B13" s="43" t="s">
        <v>55</v>
      </c>
      <c r="C13" s="47" t="s">
        <v>60</v>
      </c>
      <c r="D13" s="46" t="s">
        <v>56</v>
      </c>
      <c r="E13" s="46" t="s">
        <v>57</v>
      </c>
      <c r="F13" s="64">
        <f>100*1*0.4</f>
        <v>40</v>
      </c>
      <c r="G13" s="65">
        <f>ROUND(0.7+0.19*0.01,2)</f>
        <v>0.7</v>
      </c>
      <c r="H13" s="65">
        <f>ROUND(G13*F13,2)</f>
        <v>28</v>
      </c>
      <c r="I13" s="66"/>
      <c r="K13" s="56" t="s">
        <v>55</v>
      </c>
      <c r="L13" s="58" t="s">
        <v>81</v>
      </c>
      <c r="M13" s="61"/>
      <c r="N13" s="77" t="s">
        <v>92</v>
      </c>
      <c r="O13" s="61"/>
    </row>
    <row r="14" spans="1:15" ht="60">
      <c r="A14" s="63">
        <v>2</v>
      </c>
      <c r="B14" s="43" t="s">
        <v>59</v>
      </c>
      <c r="C14" s="47" t="s">
        <v>58</v>
      </c>
      <c r="D14" s="46" t="s">
        <v>56</v>
      </c>
      <c r="E14" s="46" t="s">
        <v>57</v>
      </c>
      <c r="F14" s="64">
        <f>100*0.5*0.1</f>
        <v>5</v>
      </c>
      <c r="G14" s="65">
        <f>1.6+0.19*0.1</f>
        <v>1.619</v>
      </c>
      <c r="H14" s="65">
        <f t="shared" ref="H14:H16" si="0">ROUND(G14*F14,2)</f>
        <v>8.1</v>
      </c>
      <c r="I14" s="66"/>
      <c r="K14" s="56" t="s">
        <v>59</v>
      </c>
      <c r="L14" s="58" t="s">
        <v>82</v>
      </c>
      <c r="M14" s="61"/>
      <c r="N14" s="77" t="s">
        <v>93</v>
      </c>
      <c r="O14" s="61"/>
    </row>
    <row r="15" spans="1:15" ht="36">
      <c r="A15" s="63">
        <v>3</v>
      </c>
      <c r="B15" s="43" t="s">
        <v>102</v>
      </c>
      <c r="C15" s="47" t="s">
        <v>101</v>
      </c>
      <c r="D15" s="46" t="s">
        <v>103</v>
      </c>
      <c r="E15" s="46" t="s">
        <v>57</v>
      </c>
      <c r="F15" s="64">
        <v>10</v>
      </c>
      <c r="G15" s="81">
        <f>4.4+0.19*0.01</f>
        <v>4.4019000000000004</v>
      </c>
      <c r="H15" s="65">
        <f t="shared" si="0"/>
        <v>44.02</v>
      </c>
      <c r="I15" s="66"/>
      <c r="K15" s="43" t="s">
        <v>102</v>
      </c>
      <c r="L15" s="58"/>
      <c r="M15" s="61"/>
      <c r="N15" s="77" t="s">
        <v>104</v>
      </c>
      <c r="O15" s="61"/>
    </row>
    <row r="16" spans="1:15" ht="24">
      <c r="A16" s="63">
        <v>4</v>
      </c>
      <c r="B16" s="43" t="s">
        <v>62</v>
      </c>
      <c r="C16" s="47" t="s">
        <v>61</v>
      </c>
      <c r="D16" s="46" t="s">
        <v>63</v>
      </c>
      <c r="E16" s="46" t="s">
        <v>64</v>
      </c>
      <c r="F16" s="64">
        <v>6</v>
      </c>
      <c r="G16" s="65">
        <v>11.5</v>
      </c>
      <c r="H16" s="65">
        <f t="shared" si="0"/>
        <v>69</v>
      </c>
      <c r="I16" s="66"/>
      <c r="K16" s="56" t="s">
        <v>62</v>
      </c>
      <c r="L16" s="80">
        <v>5</v>
      </c>
      <c r="M16" s="61"/>
      <c r="N16" s="78">
        <v>11.5</v>
      </c>
      <c r="O16" s="61"/>
    </row>
    <row r="17" spans="1:15">
      <c r="A17" s="73"/>
      <c r="B17" s="18"/>
      <c r="C17" s="18"/>
      <c r="D17" s="18"/>
      <c r="E17" s="18"/>
      <c r="F17" s="74"/>
      <c r="G17" s="19"/>
      <c r="H17" s="75" t="s">
        <v>23</v>
      </c>
      <c r="I17" s="69">
        <f>SUM(H13:H16)</f>
        <v>149.12</v>
      </c>
      <c r="K17" s="17"/>
      <c r="L17" s="80"/>
      <c r="M17" s="61"/>
      <c r="N17" s="78"/>
      <c r="O17" s="61"/>
    </row>
    <row r="18" spans="1:15">
      <c r="A18" s="16" t="s">
        <v>65</v>
      </c>
      <c r="B18" s="17"/>
      <c r="C18" s="17"/>
      <c r="D18" s="17"/>
      <c r="E18" s="17"/>
      <c r="F18" s="45"/>
      <c r="G18" s="49"/>
      <c r="H18" s="54"/>
      <c r="I18" s="54"/>
      <c r="K18" s="17"/>
      <c r="L18" s="80"/>
      <c r="M18" s="61"/>
      <c r="N18" s="78"/>
      <c r="O18" s="61"/>
    </row>
    <row r="19" spans="1:15" ht="24">
      <c r="A19" s="63">
        <v>5</v>
      </c>
      <c r="B19" s="43" t="s">
        <v>67</v>
      </c>
      <c r="C19" s="44" t="s">
        <v>66</v>
      </c>
      <c r="D19" s="44" t="s">
        <v>68</v>
      </c>
      <c r="E19" s="46" t="s">
        <v>69</v>
      </c>
      <c r="F19" s="64">
        <f>100*1*2</f>
        <v>200</v>
      </c>
      <c r="G19" s="65">
        <f>1.1+0.19/10*5</f>
        <v>1.1950000000000001</v>
      </c>
      <c r="H19" s="65">
        <f t="shared" ref="H19:H22" si="1">ROUND(G19*F19,2)</f>
        <v>239</v>
      </c>
      <c r="I19" s="66"/>
      <c r="K19" s="56" t="s">
        <v>67</v>
      </c>
      <c r="L19" s="58" t="s">
        <v>83</v>
      </c>
      <c r="M19" s="61"/>
      <c r="N19" s="77" t="s">
        <v>98</v>
      </c>
      <c r="O19" s="61"/>
    </row>
    <row r="20" spans="1:15" ht="25.5">
      <c r="A20" s="63">
        <v>6</v>
      </c>
      <c r="B20" s="43" t="s">
        <v>39</v>
      </c>
      <c r="C20" s="44" t="s">
        <v>40</v>
      </c>
      <c r="D20" s="44" t="s">
        <v>70</v>
      </c>
      <c r="E20" s="46" t="s">
        <v>57</v>
      </c>
      <c r="F20" s="64">
        <v>120</v>
      </c>
      <c r="G20" s="65">
        <f>11.5+0.19*5</f>
        <v>12.45</v>
      </c>
      <c r="H20" s="65">
        <f t="shared" si="1"/>
        <v>1494</v>
      </c>
      <c r="I20" s="66"/>
      <c r="K20" s="56" t="s">
        <v>39</v>
      </c>
      <c r="L20" s="58" t="s">
        <v>97</v>
      </c>
      <c r="M20" s="61"/>
      <c r="N20" s="77" t="s">
        <v>94</v>
      </c>
      <c r="O20" s="61"/>
    </row>
    <row r="21" spans="1:15" ht="24">
      <c r="A21" s="63">
        <v>7</v>
      </c>
      <c r="B21" s="43" t="s">
        <v>72</v>
      </c>
      <c r="C21" s="44" t="s">
        <v>71</v>
      </c>
      <c r="D21" s="44" t="s">
        <v>70</v>
      </c>
      <c r="E21" s="46" t="s">
        <v>69</v>
      </c>
      <c r="F21" s="64">
        <f>100*1.5*1</f>
        <v>150</v>
      </c>
      <c r="G21" s="67">
        <f>1.2+(0.19/10)*5</f>
        <v>1.2949999999999999</v>
      </c>
      <c r="H21" s="65">
        <f t="shared" si="1"/>
        <v>194.25</v>
      </c>
      <c r="I21" s="66"/>
      <c r="K21" s="56" t="s">
        <v>72</v>
      </c>
      <c r="L21" s="58" t="s">
        <v>84</v>
      </c>
      <c r="M21" s="61"/>
      <c r="N21" s="79" t="s">
        <v>99</v>
      </c>
      <c r="O21" s="61"/>
    </row>
    <row r="22" spans="1:15" ht="24">
      <c r="A22" s="63">
        <v>8</v>
      </c>
      <c r="B22" s="43" t="s">
        <v>41</v>
      </c>
      <c r="C22" s="68" t="s">
        <v>42</v>
      </c>
      <c r="D22" s="63" t="s">
        <v>43</v>
      </c>
      <c r="E22" s="46" t="s">
        <v>69</v>
      </c>
      <c r="F22" s="65">
        <f>1800*4.5</f>
        <v>8100</v>
      </c>
      <c r="G22" s="65">
        <v>0.41</v>
      </c>
      <c r="H22" s="65">
        <f t="shared" si="1"/>
        <v>3321</v>
      </c>
      <c r="I22" s="69"/>
      <c r="K22" s="56" t="s">
        <v>41</v>
      </c>
      <c r="L22" s="77" t="s">
        <v>85</v>
      </c>
      <c r="M22" s="61"/>
      <c r="N22" s="78">
        <v>0.41</v>
      </c>
      <c r="O22" s="61"/>
    </row>
    <row r="23" spans="1:15">
      <c r="A23" s="73"/>
      <c r="B23" s="18"/>
      <c r="C23" s="18"/>
      <c r="D23" s="18"/>
      <c r="E23" s="18"/>
      <c r="F23" s="74"/>
      <c r="G23" s="19"/>
      <c r="H23" s="75" t="s">
        <v>24</v>
      </c>
      <c r="I23" s="62">
        <f>SUM(H19:H22)</f>
        <v>5248.25</v>
      </c>
      <c r="K23" s="17"/>
      <c r="L23" s="78"/>
      <c r="M23" s="61"/>
      <c r="N23" s="78"/>
      <c r="O23" s="61"/>
    </row>
    <row r="24" spans="1:15">
      <c r="A24" s="16" t="s">
        <v>73</v>
      </c>
      <c r="B24" s="17"/>
      <c r="C24" s="17"/>
      <c r="D24" s="17"/>
      <c r="E24" s="17"/>
      <c r="F24" s="45"/>
      <c r="G24" s="49"/>
      <c r="H24" s="54"/>
      <c r="I24" s="54"/>
      <c r="K24" s="17"/>
      <c r="L24" s="80"/>
      <c r="M24" s="61"/>
      <c r="N24" s="78"/>
      <c r="O24" s="61"/>
    </row>
    <row r="25" spans="1:15" ht="13.5">
      <c r="A25" s="63">
        <v>9</v>
      </c>
      <c r="B25" s="43" t="s">
        <v>44</v>
      </c>
      <c r="C25" s="68" t="s">
        <v>45</v>
      </c>
      <c r="D25" s="63" t="s">
        <v>46</v>
      </c>
      <c r="E25" s="46" t="s">
        <v>69</v>
      </c>
      <c r="F25" s="65">
        <v>6700</v>
      </c>
      <c r="G25" s="65">
        <v>1.2</v>
      </c>
      <c r="H25" s="65">
        <f t="shared" ref="H25:H26" si="2">ROUND(G25*F25,2)</f>
        <v>8040</v>
      </c>
      <c r="I25" s="69"/>
      <c r="K25" s="56" t="s">
        <v>44</v>
      </c>
      <c r="L25" s="77" t="s">
        <v>105</v>
      </c>
      <c r="M25" s="61"/>
      <c r="N25" s="78">
        <v>1.2</v>
      </c>
      <c r="O25" s="61"/>
    </row>
    <row r="26" spans="1:15" ht="48">
      <c r="A26" s="63">
        <v>10</v>
      </c>
      <c r="B26" s="43" t="s">
        <v>52</v>
      </c>
      <c r="C26" s="68" t="s">
        <v>51</v>
      </c>
      <c r="D26" s="44" t="s">
        <v>53</v>
      </c>
      <c r="E26" s="46" t="s">
        <v>69</v>
      </c>
      <c r="F26" s="65">
        <f>F25</f>
        <v>6700</v>
      </c>
      <c r="G26" s="65">
        <f>7.7+(0.19+0.03)/20*10</f>
        <v>7.8100000000000005</v>
      </c>
      <c r="H26" s="65">
        <f t="shared" si="2"/>
        <v>52327</v>
      </c>
      <c r="I26" s="69"/>
      <c r="K26" s="56" t="s">
        <v>52</v>
      </c>
      <c r="L26" s="78" t="str">
        <f>L25</f>
        <v>=100*0,5+1800*3,7=6710</v>
      </c>
      <c r="M26" s="61"/>
      <c r="N26" s="77" t="s">
        <v>95</v>
      </c>
      <c r="O26" s="61"/>
    </row>
    <row r="27" spans="1:15">
      <c r="A27" s="73"/>
      <c r="B27" s="18"/>
      <c r="C27" s="18"/>
      <c r="D27" s="18"/>
      <c r="E27" s="18"/>
      <c r="F27" s="74"/>
      <c r="G27" s="19"/>
      <c r="H27" s="75" t="s">
        <v>79</v>
      </c>
      <c r="I27" s="69">
        <f>SUM(H25:H26)</f>
        <v>60367</v>
      </c>
      <c r="K27" s="17"/>
      <c r="L27" s="78"/>
      <c r="M27" s="61"/>
      <c r="N27" s="78"/>
      <c r="O27" s="61"/>
    </row>
    <row r="28" spans="1:15">
      <c r="A28" s="16" t="s">
        <v>74</v>
      </c>
      <c r="B28" s="17"/>
      <c r="C28" s="17"/>
      <c r="D28" s="17"/>
      <c r="E28" s="17"/>
      <c r="F28" s="45"/>
      <c r="G28" s="49"/>
      <c r="H28" s="54"/>
      <c r="I28" s="54"/>
      <c r="K28" s="17"/>
      <c r="L28" s="80"/>
      <c r="M28" s="61"/>
      <c r="N28" s="78"/>
      <c r="O28" s="61"/>
    </row>
    <row r="29" spans="1:15" ht="24">
      <c r="A29" s="63">
        <v>11</v>
      </c>
      <c r="B29" s="43" t="s">
        <v>76</v>
      </c>
      <c r="C29" s="57" t="s">
        <v>75</v>
      </c>
      <c r="D29" s="44" t="s">
        <v>77</v>
      </c>
      <c r="E29" s="44" t="s">
        <v>78</v>
      </c>
      <c r="F29" s="64">
        <v>2</v>
      </c>
      <c r="G29" s="65">
        <v>43.8</v>
      </c>
      <c r="H29" s="65">
        <f>ROUND(G29*F29,2)</f>
        <v>87.6</v>
      </c>
      <c r="I29" s="66"/>
      <c r="K29" s="56" t="s">
        <v>76</v>
      </c>
      <c r="L29" s="80">
        <v>2</v>
      </c>
      <c r="M29" s="61"/>
      <c r="N29" s="78">
        <v>43.8</v>
      </c>
      <c r="O29" s="61"/>
    </row>
    <row r="30" spans="1:15">
      <c r="A30" s="73"/>
      <c r="B30" s="18"/>
      <c r="C30" s="18"/>
      <c r="D30" s="18"/>
      <c r="E30" s="18"/>
      <c r="F30" s="74"/>
      <c r="G30" s="19"/>
      <c r="H30" s="75" t="s">
        <v>80</v>
      </c>
      <c r="I30" s="69">
        <f>SUM(H29)</f>
        <v>87.6</v>
      </c>
      <c r="K30" s="76"/>
      <c r="L30" s="20"/>
    </row>
    <row r="31" spans="1:15">
      <c r="F31" s="20"/>
      <c r="G31" s="21"/>
      <c r="H31" s="71" t="s">
        <v>25</v>
      </c>
      <c r="I31" s="70">
        <f>SUM(I12:I30)</f>
        <v>65851.97</v>
      </c>
      <c r="L31" s="20"/>
      <c r="M31" s="20"/>
    </row>
    <row r="32" spans="1:15" ht="15">
      <c r="F32" s="20"/>
      <c r="G32" s="21"/>
      <c r="H32" s="72" t="s">
        <v>26</v>
      </c>
      <c r="I32" s="22">
        <f>ROUND(I31*0.18,2)</f>
        <v>11853.35</v>
      </c>
      <c r="L32" s="20"/>
      <c r="M32" s="20"/>
    </row>
    <row r="33" spans="2:13">
      <c r="F33" s="20"/>
      <c r="G33" s="21"/>
      <c r="H33" s="71" t="s">
        <v>27</v>
      </c>
      <c r="I33" s="23">
        <f>ROUND(I32+I31,2)</f>
        <v>77705.320000000007</v>
      </c>
      <c r="L33" s="20"/>
      <c r="M33" s="20"/>
    </row>
    <row r="34" spans="2:13" ht="15">
      <c r="F34" s="20"/>
      <c r="G34" s="21"/>
      <c r="H34" s="72" t="s">
        <v>28</v>
      </c>
      <c r="I34" s="22">
        <f>ROUND(I33*0.15,2)</f>
        <v>11655.8</v>
      </c>
      <c r="L34" s="20"/>
      <c r="M34" s="20"/>
    </row>
    <row r="35" spans="2:13">
      <c r="F35" s="20"/>
      <c r="G35" s="21"/>
      <c r="H35" s="71" t="s">
        <v>27</v>
      </c>
      <c r="I35" s="23">
        <f>ROUND(I34+I33,2)</f>
        <v>89361.12</v>
      </c>
      <c r="L35" s="20"/>
      <c r="M35" s="20"/>
    </row>
    <row r="36" spans="2:13" ht="15">
      <c r="F36" s="20"/>
      <c r="G36" s="21"/>
      <c r="H36" s="72" t="s">
        <v>29</v>
      </c>
      <c r="I36" s="22">
        <v>69.77</v>
      </c>
      <c r="K36" s="59">
        <f>K37-I35</f>
        <v>69.774308943102369</v>
      </c>
      <c r="L36" s="20"/>
      <c r="M36" s="20"/>
    </row>
    <row r="37" spans="2:13">
      <c r="F37" s="20"/>
      <c r="G37" s="21"/>
      <c r="H37" s="71" t="s">
        <v>27</v>
      </c>
      <c r="I37" s="23">
        <f>ROUND(I36+I35,2)</f>
        <v>89430.89</v>
      </c>
      <c r="K37" s="20">
        <f>K39/1.23</f>
        <v>89430.894308943098</v>
      </c>
      <c r="L37" s="20"/>
      <c r="M37" s="20"/>
    </row>
    <row r="38" spans="2:13" ht="15">
      <c r="F38" s="20"/>
      <c r="G38" s="21"/>
      <c r="H38" s="72" t="s">
        <v>30</v>
      </c>
      <c r="I38" s="22">
        <f>ROUND(I37*0.23,2)</f>
        <v>20569.099999999999</v>
      </c>
      <c r="L38" s="20"/>
      <c r="M38" s="20"/>
    </row>
    <row r="39" spans="2:13">
      <c r="F39" s="20"/>
      <c r="G39" s="21"/>
      <c r="H39" s="71" t="s">
        <v>86</v>
      </c>
      <c r="I39" s="23">
        <f>ROUND(I38+I37,2)</f>
        <v>109999.99</v>
      </c>
      <c r="K39" s="20">
        <v>110000</v>
      </c>
      <c r="L39" s="20"/>
      <c r="M39" s="20"/>
    </row>
    <row r="40" spans="2:13" ht="25.5" customHeight="1">
      <c r="F40" s="20"/>
      <c r="G40" s="86" t="s">
        <v>100</v>
      </c>
      <c r="H40" s="87"/>
      <c r="I40" s="23">
        <v>110000</v>
      </c>
      <c r="L40" s="20"/>
      <c r="M40" s="20"/>
    </row>
    <row r="41" spans="2:13">
      <c r="F41" s="20"/>
      <c r="L41" s="20"/>
      <c r="M41" s="20"/>
    </row>
    <row r="42" spans="2:13" ht="12.75" customHeight="1">
      <c r="C42" s="25"/>
      <c r="D42" s="26"/>
      <c r="E42" s="12"/>
      <c r="G42" s="55" t="s">
        <v>89</v>
      </c>
      <c r="I42" s="50"/>
    </row>
    <row r="43" spans="2:13" ht="12.75" customHeight="1">
      <c r="B43" s="60" t="str">
        <f>G43</f>
        <v>Ιωάννινα    …...-03-2014</v>
      </c>
      <c r="C43" s="28"/>
      <c r="D43" s="29"/>
      <c r="E43" s="12"/>
      <c r="F43" s="30"/>
      <c r="G43" s="55" t="s">
        <v>88</v>
      </c>
      <c r="I43" s="50"/>
    </row>
    <row r="44" spans="2:13" ht="12.75" customHeight="1">
      <c r="B44" s="31" t="s">
        <v>87</v>
      </c>
      <c r="C44" s="28"/>
      <c r="D44" s="29"/>
      <c r="E44" s="12"/>
      <c r="F44" s="30"/>
      <c r="G44" s="55" t="s">
        <v>91</v>
      </c>
      <c r="I44" s="50"/>
    </row>
    <row r="45" spans="2:13" ht="12.75" customHeight="1">
      <c r="B45" s="32"/>
      <c r="C45" s="33"/>
      <c r="D45" s="34"/>
      <c r="E45" s="35"/>
      <c r="F45" s="36"/>
      <c r="G45" s="55"/>
      <c r="I45" s="50"/>
    </row>
    <row r="46" spans="2:13" ht="12.75" customHeight="1">
      <c r="B46" s="32"/>
      <c r="C46" s="37"/>
      <c r="D46" s="38"/>
      <c r="E46" s="39"/>
      <c r="F46" s="40"/>
      <c r="G46" s="55"/>
      <c r="I46" s="50"/>
    </row>
    <row r="47" spans="2:13" ht="12.75" customHeight="1">
      <c r="B47" s="27" t="s">
        <v>32</v>
      </c>
      <c r="C47" s="37"/>
      <c r="D47" s="41"/>
      <c r="E47" s="42"/>
      <c r="F47" s="40"/>
      <c r="G47" s="55" t="s">
        <v>90</v>
      </c>
      <c r="I47" s="50"/>
    </row>
    <row r="48" spans="2:13" ht="12.75" customHeight="1">
      <c r="B48" s="27" t="s">
        <v>33</v>
      </c>
      <c r="C48" s="37"/>
      <c r="D48" s="41"/>
      <c r="E48" s="42"/>
      <c r="F48" s="40"/>
      <c r="G48" s="55" t="s">
        <v>49</v>
      </c>
      <c r="I48" s="50"/>
    </row>
    <row r="49" spans="4:4" ht="12.75" customHeight="1"/>
    <row r="50" spans="4:4">
      <c r="D50" s="55" t="s">
        <v>31</v>
      </c>
    </row>
    <row r="51" spans="4:4">
      <c r="D51" s="55" t="s">
        <v>88</v>
      </c>
    </row>
    <row r="52" spans="4:4">
      <c r="D52" s="55" t="s">
        <v>47</v>
      </c>
    </row>
    <row r="53" spans="4:4">
      <c r="D53" s="55"/>
    </row>
    <row r="54" spans="4:4">
      <c r="D54" s="55"/>
    </row>
    <row r="55" spans="4:4">
      <c r="D55" s="55" t="s">
        <v>48</v>
      </c>
    </row>
    <row r="56" spans="4:4">
      <c r="D56" s="55" t="s">
        <v>49</v>
      </c>
    </row>
  </sheetData>
  <mergeCells count="14">
    <mergeCell ref="F1:I4"/>
    <mergeCell ref="L10:L11"/>
    <mergeCell ref="N10:N11"/>
    <mergeCell ref="G40:H40"/>
    <mergeCell ref="K8:O8"/>
    <mergeCell ref="A8:I8"/>
    <mergeCell ref="A10:A11"/>
    <mergeCell ref="B10:B11"/>
    <mergeCell ref="C10:C11"/>
    <mergeCell ref="D10:D11"/>
    <mergeCell ref="E10:E11"/>
    <mergeCell ref="F10:F11"/>
    <mergeCell ref="G10:G11"/>
    <mergeCell ref="H10:I10"/>
  </mergeCells>
  <printOptions horizontalCentered="1"/>
  <pageMargins left="0.11811023622047245" right="0.11811023622047245" top="0.11811023622047245" bottom="0.1181102362204724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RIA</cp:lastModifiedBy>
  <cp:lastPrinted>2014-03-13T11:30:02Z</cp:lastPrinted>
  <dcterms:created xsi:type="dcterms:W3CDTF">2014-02-10T06:40:21Z</dcterms:created>
  <dcterms:modified xsi:type="dcterms:W3CDTF">2014-03-13T11:32:11Z</dcterms:modified>
</cp:coreProperties>
</file>